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'Zal_1_WPF_uklad_budzetu_ryzyko'!$A$1:$K$75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<sst xmlns="http://schemas.openxmlformats.org/spreadsheetml/2006/main" count="1948" uniqueCount="413">
  <si>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</si>
  <si>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</si>
  <si>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</si>
  <si>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</si>
  <si>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</si>
  <si>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</si>
  <si>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</si>
  <si>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</si>
  <si>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</si>
  <si>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</si>
  <si>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</si>
  <si>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</si>
  <si>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</si>
  <si>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</si>
  <si>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</si>
  <si>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</si>
  <si>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</si>
  <si>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</si>
  <si>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</si>
  <si>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</si>
  <si>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</si>
  <si>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</si>
  <si>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</si>
  <si>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</si>
  <si>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</si>
  <si>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</si>
  <si>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</si>
  <si>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</si>
  <si>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</si>
  <si>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</si>
  <si>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</si>
  <si>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</si>
  <si>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</si>
  <si>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</si>
  <si>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</si>
  <si>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</si>
  <si>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</si>
  <si>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</si>
  <si>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</si>
  <si>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</si>
  <si>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</si>
  <si>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</si>
  <si>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</si>
  <si>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</si>
  <si>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</si>
  <si>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</si>
  <si>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</si>
  <si>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</si>
  <si>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</si>
  <si>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</si>
  <si>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</si>
  <si>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</si>
  <si>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</si>
  <si>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</si>
  <si>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</si>
  <si>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</si>
  <si>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</si>
  <si>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</si>
  <si>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</si>
  <si>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</si>
  <si>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</si>
  <si>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</si>
  <si>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</si>
  <si>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</si>
  <si>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</si>
  <si>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</si>
  <si>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</si>
  <si>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</si>
  <si>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</si>
  <si>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</si>
  <si>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</si>
  <si>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</si>
  <si>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</si>
  <si>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</si>
  <si>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</si>
  <si>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</si>
  <si>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</si>
  <si>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</si>
  <si>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</si>
  <si>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</si>
  <si>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</si>
  <si>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</si>
  <si>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</si>
  <si>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</si>
  <si>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</si>
  <si>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</si>
  <si>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</si>
  <si>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</si>
  <si>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</si>
  <si>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</si>
  <si>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</si>
  <si>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</si>
  <si>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</si>
  <si>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</si>
  <si>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</si>
  <si>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</si>
  <si>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</si>
  <si>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</si>
  <si>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</si>
  <si>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</si>
  <si>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</si>
  <si>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</si>
  <si>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</si>
  <si>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</si>
  <si>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</si>
  <si>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</si>
  <si>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</si>
  <si>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</si>
  <si>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</si>
  <si>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</si>
  <si>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</si>
  <si>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</si>
  <si>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</si>
  <si>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</si>
  <si>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</si>
  <si>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</si>
  <si>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</si>
  <si>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</si>
  <si>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</si>
  <si>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</si>
  <si>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</si>
  <si>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</si>
  <si>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</si>
  <si>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</si>
  <si>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</si>
  <si>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</si>
  <si>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</si>
  <si>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</si>
  <si>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</si>
  <si>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</si>
  <si>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</si>
  <si>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</si>
  <si>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</si>
  <si>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</si>
  <si>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</si>
  <si>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</si>
  <si>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</si>
  <si>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</si>
  <si>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</si>
  <si>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</si>
  <si>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</si>
  <si>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</si>
  <si>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</si>
  <si>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</si>
  <si>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</si>
  <si>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</si>
  <si>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</si>
  <si>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</si>
  <si>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</si>
  <si>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</si>
  <si>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</si>
  <si>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</si>
  <si>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</si>
  <si>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</si>
  <si>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</si>
  <si>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</si>
  <si>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</si>
  <si>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</si>
  <si>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</si>
  <si>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</si>
  <si>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</si>
  <si>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</si>
  <si>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</si>
  <si>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</si>
  <si>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</si>
  <si>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</si>
  <si>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</si>
  <si>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</si>
  <si>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</si>
  <si>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</si>
  <si>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</si>
  <si>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</si>
  <si>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</si>
  <si>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</si>
  <si>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</si>
  <si>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</si>
  <si>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</si>
  <si>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</si>
  <si>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</si>
  <si>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</si>
  <si>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</si>
  <si>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</si>
  <si>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</si>
  <si>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</si>
  <si>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</si>
  <si>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</si>
  <si>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</si>
  <si>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</si>
  <si>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</si>
  <si>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</si>
  <si>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</si>
  <si>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</si>
  <si>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</si>
  <si>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</si>
  <si>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</si>
  <si>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</si>
  <si>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</si>
  <si>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</si>
  <si>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</si>
  <si>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</si>
  <si>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</si>
  <si>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</si>
  <si>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</si>
  <si>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</si>
  <si>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</si>
  <si>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</si>
  <si>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</si>
  <si>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</si>
  <si>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</si>
  <si>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</si>
  <si>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</si>
  <si>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</si>
  <si>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</si>
  <si>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</si>
  <si>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</si>
  <si>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</si>
  <si>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</si>
  <si>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</si>
  <si>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</si>
  <si>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</si>
  <si>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</si>
  <si>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</si>
  <si>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</si>
  <si>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</si>
  <si>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</si>
  <si>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</si>
  <si>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</si>
  <si>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</si>
  <si>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</si>
  <si>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</si>
  <si>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</si>
  <si>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</si>
  <si>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</si>
  <si>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</si>
  <si>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</si>
  <si>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</si>
  <si>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</si>
  <si>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</si>
  <si>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</si>
  <si>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</si>
  <si>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</si>
  <si>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</si>
  <si>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</si>
  <si>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</si>
  <si>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</si>
  <si>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</si>
  <si>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</si>
  <si>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</si>
  <si>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</si>
  <si>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</si>
  <si>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</si>
  <si>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</si>
  <si>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</si>
  <si>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</si>
  <si>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</si>
  <si>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</si>
  <si>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</si>
  <si>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</si>
  <si>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</si>
  <si>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</si>
  <si>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</si>
  <si>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</si>
  <si>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</si>
  <si>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</si>
  <si>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</si>
  <si>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</si>
  <si>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</si>
  <si>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</si>
  <si>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</si>
  <si>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</si>
  <si>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</si>
  <si>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</si>
  <si>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</si>
  <si>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</si>
  <si>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</si>
  <si>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</si>
  <si>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</si>
  <si>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</si>
  <si>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</si>
  <si>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</si>
  <si>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</si>
  <si>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</si>
  <si>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</si>
  <si>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</si>
  <si>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</si>
  <si>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</si>
  <si>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</si>
  <si>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</si>
  <si>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</si>
  <si>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</si>
  <si>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</si>
  <si>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</si>
  <si>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</si>
  <si>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</si>
  <si>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</si>
  <si>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</si>
  <si>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</si>
  <si>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</si>
  <si>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</si>
  <si>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</si>
  <si>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</si>
  <si>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</si>
  <si>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</si>
  <si>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</si>
  <si>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</si>
  <si>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</si>
  <si>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</si>
  <si>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</si>
  <si>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</si>
  <si>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</si>
  <si>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</si>
  <si>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</si>
  <si>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</si>
  <si>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</si>
  <si>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</si>
  <si>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</si>
  <si>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</si>
  <si>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</si>
  <si>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</si>
  <si>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</si>
  <si>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</si>
  <si>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</si>
  <si>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</si>
  <si>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</si>
  <si>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</si>
  <si>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</si>
  <si>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</si>
  <si>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</si>
  <si>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</si>
  <si>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</si>
  <si>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</si>
  <si>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</si>
  <si>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</si>
  <si>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</si>
  <si>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</si>
  <si>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</si>
  <si>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</si>
  <si>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</si>
  <si>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</si>
  <si>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</si>
  <si>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</si>
  <si>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</si>
  <si>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</si>
  <si>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</si>
  <si>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</si>
  <si>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</si>
  <si>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</si>
  <si>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</si>
  <si>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</si>
  <si>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</si>
  <si>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</si>
  <si>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</si>
  <si>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</si>
  <si>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</si>
  <si>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</si>
  <si>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</si>
  <si>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</si>
  <si>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</si>
  <si>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</si>
  <si>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</si>
  <si>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</si>
  <si>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</si>
  <si>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</si>
  <si>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</si>
  <si>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</si>
  <si>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</si>
  <si>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</si>
  <si>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</si>
  <si>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</si>
  <si>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</si>
  <si>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</si>
  <si>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</si>
  <si>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</si>
  <si>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</si>
  <si>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</si>
  <si>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</si>
  <si>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</si>
  <si>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</si>
  <si>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</si>
  <si>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</si>
  <si>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</si>
  <si>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</si>
  <si>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</si>
  <si>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</si>
  <si>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</si>
  <si>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</si>
  <si>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</si>
  <si>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autopoprawka</t>
  </si>
  <si>
    <t>GODZIESZE WIELKIE</t>
  </si>
  <si>
    <t>[20a]-[22]</t>
  </si>
  <si>
    <t>[10]+[24]</t>
  </si>
  <si>
    <t>[20a]-[21]</t>
  </si>
  <si>
    <t>[20]</t>
  </si>
  <si>
    <t>([7a]+[7b1]+[2c]+[15]-[2d]-[7a1])/[1]</t>
  </si>
  <si>
    <t>[3]+[4.1]+[4.2]+[5]</t>
  </si>
  <si>
    <t>([13]-[14])/[1]</t>
  </si>
  <si>
    <t>[7a]+[7b]</t>
  </si>
  <si>
    <t>([7a]+[7b1]+[2c]-[2d]-[7a1])/[1]</t>
  </si>
  <si>
    <t>[26]-[27]</t>
  </si>
  <si>
    <t xml:space="preserve"> ([1a]-[24]+[1c])/[1]</t>
  </si>
  <si>
    <t>[7a]+[8]</t>
  </si>
  <si>
    <t>([7a]+[7b1]+[2c])/[1]</t>
  </si>
  <si>
    <t>([13])/[1]</t>
  </si>
  <si>
    <t>[4.1]+[4.2]+[5]+[11]</t>
  </si>
  <si>
    <t>[1]</t>
  </si>
  <si>
    <t>[6]-[7]-[8]</t>
  </si>
  <si>
    <t>([7a]+[7b1]+[2c]+[15])/[1]</t>
  </si>
  <si>
    <t>[23]-[24]</t>
  </si>
  <si>
    <t>[1a]</t>
  </si>
  <si>
    <t>[2]+[7b]</t>
  </si>
  <si>
    <t>[1]-[2]</t>
  </si>
  <si>
    <t>[1a]+[1b]</t>
  </si>
  <si>
    <t>Załącznik Nr 1 do Uchwały NR XXVIII/150/2013 Rady Gminy Godziesze Wielkie z dnia 21 stycznia 2013 r. - Wieloletnia Prognoza Finansowa na lata 2013 - 2021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</si>
</sst>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23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4" fillId="0" borderId="0" xfId="0" applyNumberFormat="1" applyFont="1" applyAlignment="1">
      <alignment horizontal="center" vertical="center"/>
    </xf>
    <xf numFmtId="166" fontId="64" fillId="0" borderId="0" xfId="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6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6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64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40" xfId="96" applyNumberFormat="1" applyFont="1" applyFill="1" applyBorder="1" applyAlignment="1" applyProtection="1">
      <alignment horizontal="center" vertical="center"/>
      <protection locked="0"/>
    </xf>
    <xf numFmtId="166" fontId="3" fillId="0" borderId="38" xfId="96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Zal_1_WPF_uklad_budzetu_ryzyko!$C$10:$K$10</c:f>
              <c:numCache>
                <c:ptCount val="9"/>
                <c:pt idx="0">
                  <c:v>993738</c:v>
                </c:pt>
                <c:pt idx="1">
                  <c:v>634610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Zal_1_WPF_uklad_budzetu_ryzyko!$C$11:$K$11</c:f>
              <c:numCache>
                <c:ptCount val="9"/>
                <c:pt idx="0">
                  <c:v>300000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341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Zal_1_WPF_uklad_budzetu_ryzyko!$C$42:$K$42</c:f>
              <c:numCache>
                <c:ptCount val="9"/>
                <c:pt idx="0">
                  <c:v>4890000</c:v>
                </c:pt>
                <c:pt idx="1">
                  <c:v>5190000</c:v>
                </c:pt>
                <c:pt idx="2">
                  <c:v>4400000</c:v>
                </c:pt>
                <c:pt idx="3">
                  <c:v>3630000</c:v>
                </c:pt>
                <c:pt idx="4">
                  <c:v>2780000</c:v>
                </c:pt>
                <c:pt idx="5">
                  <c:v>1780000</c:v>
                </c:pt>
                <c:pt idx="6">
                  <c:v>1130000</c:v>
                </c:pt>
                <c:pt idx="7">
                  <c:v>490000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Zal_1_WPF_uklad_budzetu_ryzyko!$B$39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Zal_1_WPF_uklad_budzetu_ryzyko!$C$39:$K$39</c:f>
              <c:numCache>
                <c:ptCount val="9"/>
                <c:pt idx="0">
                  <c:v>500000</c:v>
                </c:pt>
                <c:pt idx="1">
                  <c:v>700000</c:v>
                </c:pt>
                <c:pt idx="2">
                  <c:v>790000</c:v>
                </c:pt>
                <c:pt idx="3">
                  <c:v>770000</c:v>
                </c:pt>
                <c:pt idx="4">
                  <c:v>850000</c:v>
                </c:pt>
                <c:pt idx="5">
                  <c:v>1000000</c:v>
                </c:pt>
                <c:pt idx="6">
                  <c:v>650000</c:v>
                </c:pt>
                <c:pt idx="7">
                  <c:v>640000</c:v>
                </c:pt>
                <c:pt idx="8">
                  <c:v>490000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Zal_1_WPF_uklad_budzetu_ryzyko!$C$22:$K$22</c:f>
              <c:numCache>
                <c:ptCount val="9"/>
                <c:pt idx="0">
                  <c:v>400000</c:v>
                </c:pt>
                <c:pt idx="1">
                  <c:v>400000</c:v>
                </c:pt>
                <c:pt idx="2">
                  <c:v>375000</c:v>
                </c:pt>
                <c:pt idx="3">
                  <c:v>330000</c:v>
                </c:pt>
                <c:pt idx="4">
                  <c:v>270000</c:v>
                </c:pt>
                <c:pt idx="5">
                  <c:v>225000</c:v>
                </c:pt>
                <c:pt idx="6">
                  <c:v>150000</c:v>
                </c:pt>
                <c:pt idx="7">
                  <c:v>100000</c:v>
                </c:pt>
                <c:pt idx="8">
                  <c:v>50000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Zal_1_WPF_uklad_budzetu_ryzyko!$C$48:$K$48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Zal_1_WPF_uklad_budzetu_ryzyko!$C$46:$K$46</c:f>
              <c:numCache>
                <c:ptCount val="9"/>
                <c:pt idx="0">
                  <c:v>0.2102</c:v>
                </c:pt>
                <c:pt idx="1">
                  <c:v>0.2189</c:v>
                </c:pt>
                <c:pt idx="2">
                  <c:v>0.1869</c:v>
                </c:pt>
                <c:pt idx="3">
                  <c:v>0.1511</c:v>
                </c:pt>
                <c:pt idx="4">
                  <c:v>0.1135</c:v>
                </c:pt>
                <c:pt idx="5">
                  <c:v>0.0718</c:v>
                </c:pt>
                <c:pt idx="6">
                  <c:v>0.045</c:v>
                </c:pt>
                <c:pt idx="7">
                  <c:v>0.0193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Zal_1_WPF_uklad_budzetu_ryzyko!$B$51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Zal_1_WPF_uklad_budzetu_ryzyko!$C$51:$K$51</c:f>
              <c:numCache>
                <c:ptCount val="9"/>
                <c:pt idx="0">
                  <c:v>0.1085</c:v>
                </c:pt>
                <c:pt idx="1">
                  <c:v>0.0733</c:v>
                </c:pt>
                <c:pt idx="2">
                  <c:v>0.0515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Zal_1_WPF_uklad_budzetu_ryzyko!$B$56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Zal_1_WPF_uklad_budzetu_ryzyko!$C$56:$K$56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Zal_1_WPF_uklad_budzetu_ryzyko!$C$52:$K$52</c:f>
              <c:numCache>
                <c:ptCount val="9"/>
                <c:pt idx="0">
                  <c:v>0.1162</c:v>
                </c:pt>
                <c:pt idx="1">
                  <c:v>0.081</c:v>
                </c:pt>
                <c:pt idx="2">
                  <c:v>0.0591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Zal_1_WPF_uklad_budzetu_ryzyko!$B$53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Zal_1_WPF_uklad_budzetu_ryzyko!$C$53:$K$53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Zal_1_WPF_uklad_budzetu_ryzyko!$C$52:$K$52</c:f>
              <c:numCache>
                <c:ptCount val="9"/>
                <c:pt idx="0">
                  <c:v>0.1162</c:v>
                </c:pt>
                <c:pt idx="1">
                  <c:v>0.081</c:v>
                </c:pt>
                <c:pt idx="2">
                  <c:v>0.0591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Zal_1_WPF_uklad_budzetu_ryzyko!$B$56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Zal_1_WPF_uklad_budzetu_ryzyko!$C$56:$K$56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21324990.73</c:v>
                </c:pt>
                <c:pt idx="1">
                  <c:v>21035764.59</c:v>
                </c:pt>
                <c:pt idx="2">
                  <c:v>0</c:v>
                </c:pt>
                <c:pt idx="3">
                  <c:v>22273007</c:v>
                </c:pt>
                <c:pt idx="4">
                  <c:v>23071000</c:v>
                </c:pt>
                <c:pt idx="5">
                  <c:v>23547000</c:v>
                </c:pt>
                <c:pt idx="6">
                  <c:v>24018000</c:v>
                </c:pt>
                <c:pt idx="7">
                  <c:v>24500000</c:v>
                </c:pt>
                <c:pt idx="8">
                  <c:v>24800000</c:v>
                </c:pt>
                <c:pt idx="9">
                  <c:v>25100000</c:v>
                </c:pt>
                <c:pt idx="10">
                  <c:v>25360000</c:v>
                </c:pt>
                <c:pt idx="11">
                  <c:v>25360000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18054226.61</c:v>
                </c:pt>
                <c:pt idx="1">
                  <c:v>18553931.6</c:v>
                </c:pt>
                <c:pt idx="2">
                  <c:v>0</c:v>
                </c:pt>
                <c:pt idx="3">
                  <c:v>21485526</c:v>
                </c:pt>
                <c:pt idx="4">
                  <c:v>21885610</c:v>
                </c:pt>
                <c:pt idx="5">
                  <c:v>22447000</c:v>
                </c:pt>
                <c:pt idx="6">
                  <c:v>22918000</c:v>
                </c:pt>
                <c:pt idx="7">
                  <c:v>23100000</c:v>
                </c:pt>
                <c:pt idx="8">
                  <c:v>23400000</c:v>
                </c:pt>
                <c:pt idx="9">
                  <c:v>23560000</c:v>
                </c:pt>
                <c:pt idx="10">
                  <c:v>23740000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52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Zal_1_WPF_uklad_budzetu_ryzyko!$C$7:$K$7</c:f>
              <c:numCache>
                <c:ptCount val="9"/>
                <c:pt idx="0">
                  <c:v>22273007</c:v>
                </c:pt>
                <c:pt idx="1">
                  <c:v>23071000</c:v>
                </c:pt>
                <c:pt idx="2">
                  <c:v>23547000</c:v>
                </c:pt>
                <c:pt idx="3">
                  <c:v>24018000</c:v>
                </c:pt>
                <c:pt idx="4">
                  <c:v>24500000</c:v>
                </c:pt>
                <c:pt idx="5">
                  <c:v>24800000</c:v>
                </c:pt>
                <c:pt idx="6">
                  <c:v>25100000</c:v>
                </c:pt>
                <c:pt idx="7">
                  <c:v>25360000</c:v>
                </c:pt>
                <c:pt idx="8">
                  <c:v>25360000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Zal_1_WPF_uklad_budzetu_ryzyko!$C$10:$K$10</c:f>
              <c:numCache>
                <c:ptCount val="9"/>
                <c:pt idx="0">
                  <c:v>993738</c:v>
                </c:pt>
                <c:pt idx="1">
                  <c:v>634610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Zal_1_WPF_uklad_budzetu_ryzyko!$C$15:$K$15</c:f>
              <c:numCache>
                <c:ptCount val="9"/>
                <c:pt idx="0">
                  <c:v>21485526</c:v>
                </c:pt>
                <c:pt idx="1">
                  <c:v>21885610</c:v>
                </c:pt>
                <c:pt idx="2">
                  <c:v>22447000</c:v>
                </c:pt>
                <c:pt idx="3">
                  <c:v>22918000</c:v>
                </c:pt>
                <c:pt idx="4">
                  <c:v>23100000</c:v>
                </c:pt>
                <c:pt idx="5">
                  <c:v>23400000</c:v>
                </c:pt>
                <c:pt idx="6">
                  <c:v>23560000</c:v>
                </c:pt>
                <c:pt idx="7">
                  <c:v>23740000</c:v>
                </c:pt>
                <c:pt idx="8">
                  <c:v>24050000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Zal_1_WPF_uklad_budzetu_ryzyko!$C$24:$K$24</c:f>
              <c:numCache>
                <c:ptCount val="9"/>
                <c:pt idx="0">
                  <c:v>3281219</c:v>
                </c:pt>
                <c:pt idx="1">
                  <c:v>2120000</c:v>
                </c:pt>
                <c:pt idx="2">
                  <c:v>310000</c:v>
                </c:pt>
                <c:pt idx="3">
                  <c:v>330000</c:v>
                </c:pt>
                <c:pt idx="4">
                  <c:v>550000</c:v>
                </c:pt>
                <c:pt idx="5">
                  <c:v>400000</c:v>
                </c:pt>
                <c:pt idx="6">
                  <c:v>890000</c:v>
                </c:pt>
                <c:pt idx="7">
                  <c:v>980000</c:v>
                </c:pt>
                <c:pt idx="8">
                  <c:v>820000</c:v>
                </c:pt>
              </c:numCache>
            </c:numRef>
          </c:val>
        </c:ser>
        <c:overlap val="100"/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8925"/>
          <c:w val="0.95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Zal_1_WPF_uklad_budzetu_ryzyko!$B$60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Zal_1_WPF_uklad_budzetu_ryzyko!$C$60:$K$60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Zal_1_WPF_uklad_budzetu_ryzyko!$B$61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Zal_1_WPF_uklad_budzetu_ryzyko!$C$61:$K$61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823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Zal_1_WPF_uklad_budzetu_ryzyko!$B$63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Zal_1_WPF_uklad_budzetu_ryzyko!$C$63:$K$63</c:f>
              <c:numCache>
                <c:ptCount val="9"/>
                <c:pt idx="0">
                  <c:v>1820000</c:v>
                </c:pt>
                <c:pt idx="1">
                  <c:v>2020000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Zal_1_WPF_uklad_budzetu_ryzyko!$B$62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Zal_1_WPF_uklad_budzetu_ryzyko!$C$62:$K$62</c:f>
              <c:numCache>
                <c:ptCount val="9"/>
                <c:pt idx="0">
                  <c:v>180044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Zal_1_WPF_uklad_budzetu_ryzyko!$B$39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Zal_1_WPF_uklad_budzetu_ryzyko!$C$39:$K$39</c:f>
              <c:numCache>
                <c:ptCount val="9"/>
                <c:pt idx="0">
                  <c:v>500000</c:v>
                </c:pt>
                <c:pt idx="1">
                  <c:v>700000</c:v>
                </c:pt>
                <c:pt idx="2">
                  <c:v>790000</c:v>
                </c:pt>
                <c:pt idx="3">
                  <c:v>770000</c:v>
                </c:pt>
                <c:pt idx="4">
                  <c:v>850000</c:v>
                </c:pt>
                <c:pt idx="5">
                  <c:v>1000000</c:v>
                </c:pt>
                <c:pt idx="6">
                  <c:v>650000</c:v>
                </c:pt>
                <c:pt idx="7">
                  <c:v>640000</c:v>
                </c:pt>
                <c:pt idx="8">
                  <c:v>490000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Zal_1_WPF_uklad_budzetu_ryzyko!$C$24:$K$24</c:f>
              <c:numCache>
                <c:ptCount val="9"/>
                <c:pt idx="0">
                  <c:v>3281219</c:v>
                </c:pt>
                <c:pt idx="1">
                  <c:v>2120000</c:v>
                </c:pt>
                <c:pt idx="2">
                  <c:v>310000</c:v>
                </c:pt>
                <c:pt idx="3">
                  <c:v>330000</c:v>
                </c:pt>
                <c:pt idx="4">
                  <c:v>550000</c:v>
                </c:pt>
                <c:pt idx="5">
                  <c:v>400000</c:v>
                </c:pt>
                <c:pt idx="6">
                  <c:v>890000</c:v>
                </c:pt>
                <c:pt idx="7">
                  <c:v>980000</c:v>
                </c:pt>
                <c:pt idx="8">
                  <c:v>820000</c:v>
                </c:pt>
              </c:numCache>
            </c:numRef>
          </c:val>
        </c:ser>
        <c:overlap val="100"/>
        <c:axId val="60859757"/>
        <c:axId val="10866902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Zal_1_WPF_uklad_budzetu_ryzyko!$C$28:$K$28</c:f>
              <c:numCache>
                <c:ptCount val="9"/>
                <c:pt idx="0">
                  <c:v>787481</c:v>
                </c:pt>
                <c:pt idx="1">
                  <c:v>1185390</c:v>
                </c:pt>
                <c:pt idx="2">
                  <c:v>1100000</c:v>
                </c:pt>
                <c:pt idx="3">
                  <c:v>1100000</c:v>
                </c:pt>
                <c:pt idx="4">
                  <c:v>1400000</c:v>
                </c:pt>
                <c:pt idx="5">
                  <c:v>1400000</c:v>
                </c:pt>
                <c:pt idx="6">
                  <c:v>1540000</c:v>
                </c:pt>
                <c:pt idx="7">
                  <c:v>1620000</c:v>
                </c:pt>
                <c:pt idx="8">
                  <c:v>1310000</c:v>
                </c:pt>
              </c:numCache>
            </c:numRef>
          </c:val>
          <c:smooth val="0"/>
        </c:ser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97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Zal_1_WPF_uklad_budzetu_ryzyko!$B$45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Zal_1_WPF_uklad_budzetu_ryzyko!$C$45:$K$45</c:f>
              <c:numCache>
                <c:ptCount val="9"/>
                <c:pt idx="0">
                  <c:v>0.2102</c:v>
                </c:pt>
                <c:pt idx="1">
                  <c:v>0.2189</c:v>
                </c:pt>
                <c:pt idx="2">
                  <c:v>0.1869</c:v>
                </c:pt>
                <c:pt idx="3">
                  <c:v>0.1511</c:v>
                </c:pt>
                <c:pt idx="4">
                  <c:v>0.1135</c:v>
                </c:pt>
                <c:pt idx="5">
                  <c:v>0.0718</c:v>
                </c:pt>
                <c:pt idx="6">
                  <c:v>0.045</c:v>
                </c:pt>
                <c:pt idx="7">
                  <c:v>0.0193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Zal_1_WPF_uklad_budzetu_ryzyko!$B$47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Zal_1_WPF_uklad_budzetu_ryzyko!$C$47:$K$47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Zal_1_WPF_uklad_budzetu_ryzyko!$B$51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Zal_1_WPF_uklad_budzetu_ryzyko!$C$51:$K$51</c:f>
              <c:numCache>
                <c:ptCount val="9"/>
                <c:pt idx="0">
                  <c:v>0.1085</c:v>
                </c:pt>
                <c:pt idx="1">
                  <c:v>0.0733</c:v>
                </c:pt>
                <c:pt idx="2">
                  <c:v>0.0515</c:v>
                </c:pt>
                <c:pt idx="3">
                  <c:v>0.0478</c:v>
                </c:pt>
                <c:pt idx="4">
                  <c:v>0.0475</c:v>
                </c:pt>
                <c:pt idx="5">
                  <c:v>0.0499</c:v>
                </c:pt>
                <c:pt idx="6">
                  <c:v>0.0531</c:v>
                </c:pt>
                <c:pt idx="7">
                  <c:v>0.0583</c:v>
                </c:pt>
                <c:pt idx="8">
                  <c:v>0.0606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Zal_1_WPF_uklad_budzetu_ryzyko!$B$53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Zal_1_WPF_uklad_budzetu_ryzyko!$C$5:$K$5</c:f>
              <c:num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Zal_1_WPF_uklad_budzetu_ryzyko!$C$53:$K$53</c:f>
              <c:numCache>
                <c:ptCount val="9"/>
                <c:pt idx="0">
                  <c:v>0.0387</c:v>
                </c:pt>
                <c:pt idx="1">
                  <c:v>0.0464</c:v>
                </c:pt>
                <c:pt idx="2">
                  <c:v>0.0495</c:v>
                </c:pt>
                <c:pt idx="3">
                  <c:v>0.0458</c:v>
                </c:pt>
                <c:pt idx="4">
                  <c:v>0.0457</c:v>
                </c:pt>
                <c:pt idx="5">
                  <c:v>0.0494</c:v>
                </c:pt>
                <c:pt idx="6">
                  <c:v>0.0319</c:v>
                </c:pt>
                <c:pt idx="7">
                  <c:v>0.0292</c:v>
                </c:pt>
                <c:pt idx="8">
                  <c:v>0.0213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4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4" customWidth="1"/>
    <col min="6" max="36" width="11.59765625" style="0" customWidth="1"/>
  </cols>
  <sheetData>
    <row r="2" spans="1:36" ht="15">
      <c r="A2" s="132" t="s">
        <v>161</v>
      </c>
      <c r="B2" s="138"/>
      <c r="C2" s="138"/>
      <c r="D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6" ht="14.25">
      <c r="A3" s="143" t="s">
        <v>162</v>
      </c>
      <c r="B3" s="138"/>
      <c r="C3" s="138"/>
      <c r="D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2:5" ht="14.25">
      <c r="B4" s="195" t="s">
        <v>211</v>
      </c>
      <c r="C4" s="195" t="s">
        <v>211</v>
      </c>
      <c r="D4" s="195" t="s">
        <v>210</v>
      </c>
      <c r="E4" s="195" t="s">
        <v>211</v>
      </c>
    </row>
    <row r="5" spans="1:36" ht="15">
      <c r="A5" s="139" t="s">
        <v>163</v>
      </c>
      <c r="B5" s="140" t="s">
        <v>164</v>
      </c>
      <c r="C5" s="140" t="s">
        <v>165</v>
      </c>
      <c r="D5" s="140" t="s">
        <v>166</v>
      </c>
      <c r="E5" s="140" t="s">
        <v>212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167</v>
      </c>
      <c r="B7" s="171">
        <v>21324990.73</v>
      </c>
      <c r="C7" s="152">
        <v>21035764.59</v>
      </c>
      <c r="D7" s="152">
        <v>21516290</v>
      </c>
      <c r="E7" s="194">
        <v>0</v>
      </c>
      <c r="F7" s="144">
        <f>+Zal_1_WPF_uklad_budzetu_ryzyko!C7</f>
        <v>22273007</v>
      </c>
      <c r="G7" s="144">
        <f>+Zal_1_WPF_uklad_budzetu_ryzyko!D7</f>
        <v>23071000</v>
      </c>
      <c r="H7" s="144">
        <f>+Zal_1_WPF_uklad_budzetu_ryzyko!E7</f>
        <v>23547000</v>
      </c>
      <c r="I7" s="144">
        <f>+Zal_1_WPF_uklad_budzetu_ryzyko!F7</f>
        <v>24018000</v>
      </c>
      <c r="J7" s="144">
        <f>+Zal_1_WPF_uklad_budzetu_ryzyko!G7</f>
        <v>24500000</v>
      </c>
      <c r="K7" s="144">
        <f>+Zal_1_WPF_uklad_budzetu_ryzyko!H7</f>
        <v>24800000</v>
      </c>
      <c r="L7" s="144">
        <f>+Zal_1_WPF_uklad_budzetu_ryzyko!I7</f>
        <v>25100000</v>
      </c>
      <c r="M7" s="144">
        <f>+Zal_1_WPF_uklad_budzetu_ryzyko!J7</f>
        <v>25360000</v>
      </c>
      <c r="N7" s="144">
        <f>+Zal_1_WPF_uklad_budzetu_ryzyko!K7</f>
        <v>25360000</v>
      </c>
      <c r="O7" s="144" t="e">
        <f>+Zal_1_WPF_uklad_budzetu_ryzyko!#REF!</f>
        <v>#REF!</v>
      </c>
      <c r="P7" s="144" t="e">
        <f>+Zal_1_WPF_uklad_budzetu_ryzyko!#REF!</f>
        <v>#REF!</v>
      </c>
      <c r="Q7" s="144" t="e">
        <f>+Zal_1_WPF_uklad_budzetu_ryzyko!#REF!</f>
        <v>#REF!</v>
      </c>
      <c r="R7" s="144" t="e">
        <f>+Zal_1_WPF_uklad_budzetu_ryzyko!#REF!</f>
        <v>#REF!</v>
      </c>
      <c r="S7" s="144" t="e">
        <f>+Zal_1_WPF_uklad_budzetu_ryzyko!#REF!</f>
        <v>#REF!</v>
      </c>
      <c r="T7" s="144" t="e">
        <f>+Zal_1_WPF_uklad_budzetu_ryzyko!#REF!</f>
        <v>#REF!</v>
      </c>
      <c r="U7" s="144" t="e">
        <f>+Zal_1_WPF_uklad_budzetu_ryzyko!#REF!</f>
        <v>#REF!</v>
      </c>
      <c r="V7" s="144" t="e">
        <f>+Zal_1_WPF_uklad_budzetu_ryzyko!#REF!</f>
        <v>#REF!</v>
      </c>
      <c r="W7" s="144" t="e">
        <f>+Zal_1_WPF_uklad_budzetu_ryzyko!#REF!</f>
        <v>#REF!</v>
      </c>
      <c r="X7" s="144" t="e">
        <f>+Zal_1_WPF_uklad_budzetu_ryzyko!#REF!</f>
        <v>#REF!</v>
      </c>
      <c r="Y7" s="144" t="e">
        <f>+Zal_1_WPF_uklad_budzetu_ryzyko!#REF!</f>
        <v>#REF!</v>
      </c>
      <c r="Z7" s="144" t="e">
        <f>+Zal_1_WPF_uklad_budzetu_ryzyko!#REF!</f>
        <v>#REF!</v>
      </c>
      <c r="AA7" s="144" t="e">
        <f>+Zal_1_WPF_uklad_budzetu_ryzyko!#REF!</f>
        <v>#REF!</v>
      </c>
      <c r="AB7" s="144" t="e">
        <f>+Zal_1_WPF_uklad_budzetu_ryzyko!#REF!</f>
        <v>#REF!</v>
      </c>
      <c r="AC7" s="144" t="e">
        <f>+Zal_1_WPF_uklad_budzetu_ryzyko!#REF!</f>
        <v>#REF!</v>
      </c>
      <c r="AD7" s="144" t="e">
        <f>+Zal_1_WPF_uklad_budzetu_ryzyko!#REF!</f>
        <v>#REF!</v>
      </c>
      <c r="AE7" s="144" t="e">
        <f>+Zal_1_WPF_uklad_budzetu_ryzyko!#REF!</f>
        <v>#REF!</v>
      </c>
      <c r="AF7" s="144" t="e">
        <f>+Zal_1_WPF_uklad_budzetu_ryzyko!#REF!</f>
        <v>#REF!</v>
      </c>
      <c r="AG7" s="144" t="e">
        <f>+Zal_1_WPF_uklad_budzetu_ryzyko!#REF!</f>
        <v>#REF!</v>
      </c>
      <c r="AH7" s="144" t="e">
        <f>+Zal_1_WPF_uklad_budzetu_ryzyko!#REF!</f>
        <v>#REF!</v>
      </c>
      <c r="AI7" s="144" t="e">
        <f>+Zal_1_WPF_uklad_budzetu_ryzyko!#REF!</f>
        <v>#REF!</v>
      </c>
      <c r="AJ7" s="144" t="e">
        <f>+Zal_1_WPF_uklad_budzetu_ryzyko!#REF!</f>
        <v>#REF!</v>
      </c>
    </row>
    <row r="8" spans="1:36" ht="14.25">
      <c r="A8" s="150" t="s">
        <v>168</v>
      </c>
      <c r="B8" s="171">
        <v>860</v>
      </c>
      <c r="C8" s="152">
        <v>0</v>
      </c>
      <c r="D8" s="152">
        <v>300000</v>
      </c>
      <c r="E8" s="194">
        <v>0</v>
      </c>
      <c r="F8" s="144">
        <f>+Zal_1_WPF_uklad_budzetu_ryzyko!C11</f>
        <v>300000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 t="e">
        <f>+Zal_1_WPF_uklad_budzetu_ryzyko!#REF!</f>
        <v>#REF!</v>
      </c>
      <c r="P8" s="144" t="e">
        <f>+Zal_1_WPF_uklad_budzetu_ryzyko!#REF!</f>
        <v>#REF!</v>
      </c>
      <c r="Q8" s="144" t="e">
        <f>+Zal_1_WPF_uklad_budzetu_ryzyko!#REF!</f>
        <v>#REF!</v>
      </c>
      <c r="R8" s="144" t="e">
        <f>+Zal_1_WPF_uklad_budzetu_ryzyko!#REF!</f>
        <v>#REF!</v>
      </c>
      <c r="S8" s="144" t="e">
        <f>+Zal_1_WPF_uklad_budzetu_ryzyko!#REF!</f>
        <v>#REF!</v>
      </c>
      <c r="T8" s="144" t="e">
        <f>+Zal_1_WPF_uklad_budzetu_ryzyko!#REF!</f>
        <v>#REF!</v>
      </c>
      <c r="U8" s="144" t="e">
        <f>+Zal_1_WPF_uklad_budzetu_ryzyko!#REF!</f>
        <v>#REF!</v>
      </c>
      <c r="V8" s="144" t="e">
        <f>+Zal_1_WPF_uklad_budzetu_ryzyko!#REF!</f>
        <v>#REF!</v>
      </c>
      <c r="W8" s="144" t="e">
        <f>+Zal_1_WPF_uklad_budzetu_ryzyko!#REF!</f>
        <v>#REF!</v>
      </c>
      <c r="X8" s="144" t="e">
        <f>+Zal_1_WPF_uklad_budzetu_ryzyko!#REF!</f>
        <v>#REF!</v>
      </c>
      <c r="Y8" s="144" t="e">
        <f>+Zal_1_WPF_uklad_budzetu_ryzyko!#REF!</f>
        <v>#REF!</v>
      </c>
      <c r="Z8" s="144" t="e">
        <f>+Zal_1_WPF_uklad_budzetu_ryzyko!#REF!</f>
        <v>#REF!</v>
      </c>
      <c r="AA8" s="144" t="e">
        <f>+Zal_1_WPF_uklad_budzetu_ryzyko!#REF!</f>
        <v>#REF!</v>
      </c>
      <c r="AB8" s="144" t="e">
        <f>+Zal_1_WPF_uklad_budzetu_ryzyko!#REF!</f>
        <v>#REF!</v>
      </c>
      <c r="AC8" s="144" t="e">
        <f>+Zal_1_WPF_uklad_budzetu_ryzyko!#REF!</f>
        <v>#REF!</v>
      </c>
      <c r="AD8" s="144" t="e">
        <f>+Zal_1_WPF_uklad_budzetu_ryzyko!#REF!</f>
        <v>#REF!</v>
      </c>
      <c r="AE8" s="144" t="e">
        <f>+Zal_1_WPF_uklad_budzetu_ryzyko!#REF!</f>
        <v>#REF!</v>
      </c>
      <c r="AF8" s="144" t="e">
        <f>+Zal_1_WPF_uklad_budzetu_ryzyko!#REF!</f>
        <v>#REF!</v>
      </c>
      <c r="AG8" s="144" t="e">
        <f>+Zal_1_WPF_uklad_budzetu_ryzyko!#REF!</f>
        <v>#REF!</v>
      </c>
      <c r="AH8" s="144" t="e">
        <f>+Zal_1_WPF_uklad_budzetu_ryzyko!#REF!</f>
        <v>#REF!</v>
      </c>
      <c r="AI8" s="144" t="e">
        <f>+Zal_1_WPF_uklad_budzetu_ryzyko!#REF!</f>
        <v>#REF!</v>
      </c>
      <c r="AJ8" s="144" t="e">
        <f>+Zal_1_WPF_uklad_budzetu_ryzyko!#REF!</f>
        <v>#REF!</v>
      </c>
    </row>
    <row r="9" spans="1:36" ht="14.25">
      <c r="A9" s="150" t="s">
        <v>183</v>
      </c>
      <c r="B9" s="171">
        <v>18054226.61</v>
      </c>
      <c r="C9" s="152">
        <v>18553931.6</v>
      </c>
      <c r="D9" s="152">
        <v>20516019</v>
      </c>
      <c r="E9" s="194">
        <v>0</v>
      </c>
      <c r="F9" s="144">
        <f>+Zal_1_WPF_uklad_budzetu_ryzyko!C15</f>
        <v>21485526</v>
      </c>
      <c r="G9" s="144">
        <f>+Zal_1_WPF_uklad_budzetu_ryzyko!D15</f>
        <v>21885610</v>
      </c>
      <c r="H9" s="144">
        <f>+Zal_1_WPF_uklad_budzetu_ryzyko!E15</f>
        <v>22447000</v>
      </c>
      <c r="I9" s="144">
        <f>+Zal_1_WPF_uklad_budzetu_ryzyko!F15</f>
        <v>22918000</v>
      </c>
      <c r="J9" s="144">
        <f>+Zal_1_WPF_uklad_budzetu_ryzyko!G15</f>
        <v>23100000</v>
      </c>
      <c r="K9" s="144">
        <f>+Zal_1_WPF_uklad_budzetu_ryzyko!H15</f>
        <v>23400000</v>
      </c>
      <c r="L9" s="144">
        <f>+Zal_1_WPF_uklad_budzetu_ryzyko!I15</f>
        <v>23560000</v>
      </c>
      <c r="M9" s="144">
        <f>+Zal_1_WPF_uklad_budzetu_ryzyko!J15</f>
        <v>23740000</v>
      </c>
      <c r="N9" s="144">
        <f>+Zal_1_WPF_uklad_budzetu_ryzyko!K15</f>
        <v>24050000</v>
      </c>
      <c r="O9" s="144" t="e">
        <f>+Zal_1_WPF_uklad_budzetu_ryzyko!#REF!</f>
        <v>#REF!</v>
      </c>
      <c r="P9" s="144" t="e">
        <f>+Zal_1_WPF_uklad_budzetu_ryzyko!#REF!</f>
        <v>#REF!</v>
      </c>
      <c r="Q9" s="144" t="e">
        <f>+Zal_1_WPF_uklad_budzetu_ryzyko!#REF!</f>
        <v>#REF!</v>
      </c>
      <c r="R9" s="144" t="e">
        <f>+Zal_1_WPF_uklad_budzetu_ryzyko!#REF!</f>
        <v>#REF!</v>
      </c>
      <c r="S9" s="144" t="e">
        <f>+Zal_1_WPF_uklad_budzetu_ryzyko!#REF!</f>
        <v>#REF!</v>
      </c>
      <c r="T9" s="144" t="e">
        <f>+Zal_1_WPF_uklad_budzetu_ryzyko!#REF!</f>
        <v>#REF!</v>
      </c>
      <c r="U9" s="144" t="e">
        <f>+Zal_1_WPF_uklad_budzetu_ryzyko!#REF!</f>
        <v>#REF!</v>
      </c>
      <c r="V9" s="144" t="e">
        <f>+Zal_1_WPF_uklad_budzetu_ryzyko!#REF!</f>
        <v>#REF!</v>
      </c>
      <c r="W9" s="144" t="e">
        <f>+Zal_1_WPF_uklad_budzetu_ryzyko!#REF!</f>
        <v>#REF!</v>
      </c>
      <c r="X9" s="144" t="e">
        <f>+Zal_1_WPF_uklad_budzetu_ryzyko!#REF!</f>
        <v>#REF!</v>
      </c>
      <c r="Y9" s="144" t="e">
        <f>+Zal_1_WPF_uklad_budzetu_ryzyko!#REF!</f>
        <v>#REF!</v>
      </c>
      <c r="Z9" s="144" t="e">
        <f>+Zal_1_WPF_uklad_budzetu_ryzyko!#REF!</f>
        <v>#REF!</v>
      </c>
      <c r="AA9" s="144" t="e">
        <f>+Zal_1_WPF_uklad_budzetu_ryzyko!#REF!</f>
        <v>#REF!</v>
      </c>
      <c r="AB9" s="144" t="e">
        <f>+Zal_1_WPF_uklad_budzetu_ryzyko!#REF!</f>
        <v>#REF!</v>
      </c>
      <c r="AC9" s="144" t="e">
        <f>+Zal_1_WPF_uklad_budzetu_ryzyko!#REF!</f>
        <v>#REF!</v>
      </c>
      <c r="AD9" s="144" t="e">
        <f>+Zal_1_WPF_uklad_budzetu_ryzyko!#REF!</f>
        <v>#REF!</v>
      </c>
      <c r="AE9" s="144" t="e">
        <f>+Zal_1_WPF_uklad_budzetu_ryzyko!#REF!</f>
        <v>#REF!</v>
      </c>
      <c r="AF9" s="144" t="e">
        <f>+Zal_1_WPF_uklad_budzetu_ryzyko!#REF!</f>
        <v>#REF!</v>
      </c>
      <c r="AG9" s="144" t="e">
        <f>+Zal_1_WPF_uklad_budzetu_ryzyko!#REF!</f>
        <v>#REF!</v>
      </c>
      <c r="AH9" s="144" t="e">
        <f>+Zal_1_WPF_uklad_budzetu_ryzyko!#REF!</f>
        <v>#REF!</v>
      </c>
      <c r="AI9" s="144" t="e">
        <f>+Zal_1_WPF_uklad_budzetu_ryzyko!#REF!</f>
        <v>#REF!</v>
      </c>
      <c r="AJ9" s="144" t="e">
        <f>+Zal_1_WPF_uklad_budzetu_ryzyko!#REF!</f>
        <v>#REF!</v>
      </c>
    </row>
    <row r="10" spans="1:36" ht="14.25">
      <c r="A10" s="151" t="s">
        <v>169</v>
      </c>
      <c r="B10" s="171">
        <f>+B7+B8-B9</f>
        <v>3271624.120000001</v>
      </c>
      <c r="C10" s="171">
        <f>+C7+C8-C9</f>
        <v>2481832.9899999984</v>
      </c>
      <c r="D10" s="171">
        <f>+D7+D8-D9</f>
        <v>1300271</v>
      </c>
      <c r="E10" s="171">
        <f>+E7+E8-E9</f>
        <v>0</v>
      </c>
      <c r="F10" s="152">
        <f>+F7-F9+F8</f>
        <v>1087481</v>
      </c>
      <c r="G10" s="152">
        <f aca="true" t="shared" si="1" ref="G10:AJ10">+G7-G9+G8</f>
        <v>1185390</v>
      </c>
      <c r="H10" s="152">
        <f t="shared" si="1"/>
        <v>1100000</v>
      </c>
      <c r="I10" s="152">
        <f t="shared" si="1"/>
        <v>1100000</v>
      </c>
      <c r="J10" s="152">
        <f t="shared" si="1"/>
        <v>1400000</v>
      </c>
      <c r="K10" s="152">
        <f t="shared" si="1"/>
        <v>1400000</v>
      </c>
      <c r="L10" s="152">
        <f t="shared" si="1"/>
        <v>1540000</v>
      </c>
      <c r="M10" s="152">
        <f t="shared" si="1"/>
        <v>1620000</v>
      </c>
      <c r="N10" s="152">
        <f t="shared" si="1"/>
        <v>1310000</v>
      </c>
      <c r="O10" s="152" t="e">
        <f t="shared" si="1"/>
        <v>#REF!</v>
      </c>
      <c r="P10" s="152" t="e">
        <f t="shared" si="1"/>
        <v>#REF!</v>
      </c>
      <c r="Q10" s="152" t="e">
        <f t="shared" si="1"/>
        <v>#REF!</v>
      </c>
      <c r="R10" s="152" t="e">
        <f t="shared" si="1"/>
        <v>#REF!</v>
      </c>
      <c r="S10" s="152" t="e">
        <f t="shared" si="1"/>
        <v>#REF!</v>
      </c>
      <c r="T10" s="152" t="e">
        <f t="shared" si="1"/>
        <v>#REF!</v>
      </c>
      <c r="U10" s="152" t="e">
        <f t="shared" si="1"/>
        <v>#REF!</v>
      </c>
      <c r="V10" s="152" t="e">
        <f t="shared" si="1"/>
        <v>#REF!</v>
      </c>
      <c r="W10" s="152" t="e">
        <f t="shared" si="1"/>
        <v>#REF!</v>
      </c>
      <c r="X10" s="152" t="e">
        <f t="shared" si="1"/>
        <v>#REF!</v>
      </c>
      <c r="Y10" s="152" t="e">
        <f t="shared" si="1"/>
        <v>#REF!</v>
      </c>
      <c r="Z10" s="152" t="e">
        <f t="shared" si="1"/>
        <v>#REF!</v>
      </c>
      <c r="AA10" s="152" t="e">
        <f t="shared" si="1"/>
        <v>#REF!</v>
      </c>
      <c r="AB10" s="152" t="e">
        <f t="shared" si="1"/>
        <v>#REF!</v>
      </c>
      <c r="AC10" s="152" t="e">
        <f t="shared" si="1"/>
        <v>#REF!</v>
      </c>
      <c r="AD10" s="152" t="e">
        <f t="shared" si="1"/>
        <v>#REF!</v>
      </c>
      <c r="AE10" s="152" t="e">
        <f t="shared" si="1"/>
        <v>#REF!</v>
      </c>
      <c r="AF10" s="152" t="e">
        <f t="shared" si="1"/>
        <v>#REF!</v>
      </c>
      <c r="AG10" s="152" t="e">
        <f t="shared" si="1"/>
        <v>#REF!</v>
      </c>
      <c r="AH10" s="152" t="e">
        <f t="shared" si="1"/>
        <v>#REF!</v>
      </c>
      <c r="AI10" s="152" t="e">
        <f t="shared" si="1"/>
        <v>#REF!</v>
      </c>
      <c r="AJ10" s="152" t="e">
        <f t="shared" si="1"/>
        <v>#REF!</v>
      </c>
    </row>
    <row r="11" spans="1:36" ht="14.25">
      <c r="A11" s="153" t="s">
        <v>184</v>
      </c>
      <c r="B11" s="171">
        <v>21474540.1</v>
      </c>
      <c r="C11" s="152">
        <v>21474074.41</v>
      </c>
      <c r="D11" s="152">
        <v>22554047</v>
      </c>
      <c r="E11" s="194">
        <v>0</v>
      </c>
      <c r="F11" s="144">
        <f>+Zal_1_WPF_uklad_budzetu_ryzyko!C6</f>
        <v>23266745</v>
      </c>
      <c r="G11" s="144">
        <f>+Zal_1_WPF_uklad_budzetu_ryzyko!D6</f>
        <v>23705610</v>
      </c>
      <c r="H11" s="144">
        <f>+Zal_1_WPF_uklad_budzetu_ryzyko!E6</f>
        <v>23547000</v>
      </c>
      <c r="I11" s="144">
        <f>+Zal_1_WPF_uklad_budzetu_ryzyko!F6</f>
        <v>24018000</v>
      </c>
      <c r="J11" s="144">
        <f>+Zal_1_WPF_uklad_budzetu_ryzyko!G6</f>
        <v>24500000</v>
      </c>
      <c r="K11" s="144">
        <f>+Zal_1_WPF_uklad_budzetu_ryzyko!H6</f>
        <v>24800000</v>
      </c>
      <c r="L11" s="144">
        <f>+Zal_1_WPF_uklad_budzetu_ryzyko!I6</f>
        <v>25100000</v>
      </c>
      <c r="M11" s="144">
        <f>+Zal_1_WPF_uklad_budzetu_ryzyko!J6</f>
        <v>25360000</v>
      </c>
      <c r="N11" s="144">
        <f>+Zal_1_WPF_uklad_budzetu_ryzyko!K6</f>
        <v>25360000</v>
      </c>
      <c r="O11" s="144" t="e">
        <f>+Zal_1_WPF_uklad_budzetu_ryzyko!#REF!</f>
        <v>#REF!</v>
      </c>
      <c r="P11" s="144" t="e">
        <f>+Zal_1_WPF_uklad_budzetu_ryzyko!#REF!</f>
        <v>#REF!</v>
      </c>
      <c r="Q11" s="144" t="e">
        <f>+Zal_1_WPF_uklad_budzetu_ryzyko!#REF!</f>
        <v>#REF!</v>
      </c>
      <c r="R11" s="144" t="e">
        <f>+Zal_1_WPF_uklad_budzetu_ryzyko!#REF!</f>
        <v>#REF!</v>
      </c>
      <c r="S11" s="144" t="e">
        <f>+Zal_1_WPF_uklad_budzetu_ryzyko!#REF!</f>
        <v>#REF!</v>
      </c>
      <c r="T11" s="144" t="e">
        <f>+Zal_1_WPF_uklad_budzetu_ryzyko!#REF!</f>
        <v>#REF!</v>
      </c>
      <c r="U11" s="144" t="e">
        <f>+Zal_1_WPF_uklad_budzetu_ryzyko!#REF!</f>
        <v>#REF!</v>
      </c>
      <c r="V11" s="144" t="e">
        <f>+Zal_1_WPF_uklad_budzetu_ryzyko!#REF!</f>
        <v>#REF!</v>
      </c>
      <c r="W11" s="144" t="e">
        <f>+Zal_1_WPF_uklad_budzetu_ryzyko!#REF!</f>
        <v>#REF!</v>
      </c>
      <c r="X11" s="144" t="e">
        <f>+Zal_1_WPF_uklad_budzetu_ryzyko!#REF!</f>
        <v>#REF!</v>
      </c>
      <c r="Y11" s="144" t="e">
        <f>+Zal_1_WPF_uklad_budzetu_ryzyko!#REF!</f>
        <v>#REF!</v>
      </c>
      <c r="Z11" s="144" t="e">
        <f>+Zal_1_WPF_uklad_budzetu_ryzyko!#REF!</f>
        <v>#REF!</v>
      </c>
      <c r="AA11" s="144" t="e">
        <f>+Zal_1_WPF_uklad_budzetu_ryzyko!#REF!</f>
        <v>#REF!</v>
      </c>
      <c r="AB11" s="144" t="e">
        <f>+Zal_1_WPF_uklad_budzetu_ryzyko!#REF!</f>
        <v>#REF!</v>
      </c>
      <c r="AC11" s="144" t="e">
        <f>+Zal_1_WPF_uklad_budzetu_ryzyko!#REF!</f>
        <v>#REF!</v>
      </c>
      <c r="AD11" s="144" t="e">
        <f>+Zal_1_WPF_uklad_budzetu_ryzyko!#REF!</f>
        <v>#REF!</v>
      </c>
      <c r="AE11" s="144" t="e">
        <f>+Zal_1_WPF_uklad_budzetu_ryzyko!#REF!</f>
        <v>#REF!</v>
      </c>
      <c r="AF11" s="144" t="e">
        <f>+Zal_1_WPF_uklad_budzetu_ryzyko!#REF!</f>
        <v>#REF!</v>
      </c>
      <c r="AG11" s="144" t="e">
        <f>+Zal_1_WPF_uklad_budzetu_ryzyko!#REF!</f>
        <v>#REF!</v>
      </c>
      <c r="AH11" s="144" t="e">
        <f>+Zal_1_WPF_uklad_budzetu_ryzyko!#REF!</f>
        <v>#REF!</v>
      </c>
      <c r="AI11" s="144" t="e">
        <f>+Zal_1_WPF_uklad_budzetu_ryzyko!#REF!</f>
        <v>#REF!</v>
      </c>
      <c r="AJ11" s="144" t="e">
        <f>+Zal_1_WPF_uklad_budzetu_ryzyko!#REF!</f>
        <v>#REF!</v>
      </c>
    </row>
    <row r="12" spans="1:36" ht="14.25">
      <c r="A12" s="151" t="s">
        <v>181</v>
      </c>
      <c r="B12" s="137">
        <f>+IF(B11&lt;&gt;0,B10/B11,0)</f>
        <v>0.15234897253981242</v>
      </c>
      <c r="C12" s="137">
        <f>+IF(C11&lt;&gt;0,C10/C11,0)</f>
        <v>0.11557345581536514</v>
      </c>
      <c r="D12" s="137">
        <f>+IF(D11&lt;&gt;0,D10/D11,0)</f>
        <v>0.05765133858238391</v>
      </c>
      <c r="E12" s="137">
        <f>+IF(E11&lt;&gt;0,E10/E11,0)</f>
        <v>0</v>
      </c>
      <c r="F12" s="145">
        <f>+IF(F11&lt;&gt;0,F10/F11,0)</f>
        <v>0.046739713698671644</v>
      </c>
      <c r="G12" s="145">
        <f aca="true" t="shared" si="2" ref="G12:AJ12">+IF(G11&lt;&gt;0,G10/G11,0)</f>
        <v>0.05000461915976851</v>
      </c>
      <c r="H12" s="145">
        <f t="shared" si="2"/>
        <v>0.046715080477343185</v>
      </c>
      <c r="I12" s="145">
        <f t="shared" si="2"/>
        <v>0.04579898409526189</v>
      </c>
      <c r="J12" s="145">
        <f t="shared" si="2"/>
        <v>0.05714285714285714</v>
      </c>
      <c r="K12" s="145">
        <f t="shared" si="2"/>
        <v>0.056451612903225805</v>
      </c>
      <c r="L12" s="145">
        <f t="shared" si="2"/>
        <v>0.06135458167330677</v>
      </c>
      <c r="M12" s="145">
        <f t="shared" si="2"/>
        <v>0.0638801261829653</v>
      </c>
      <c r="N12" s="145">
        <f t="shared" si="2"/>
        <v>0.05165615141955836</v>
      </c>
      <c r="O12" s="145" t="e">
        <f t="shared" si="2"/>
        <v>#REF!</v>
      </c>
      <c r="P12" s="145" t="e">
        <f t="shared" si="2"/>
        <v>#REF!</v>
      </c>
      <c r="Q12" s="145" t="e">
        <f t="shared" si="2"/>
        <v>#REF!</v>
      </c>
      <c r="R12" s="145" t="e">
        <f t="shared" si="2"/>
        <v>#REF!</v>
      </c>
      <c r="S12" s="145" t="e">
        <f t="shared" si="2"/>
        <v>#REF!</v>
      </c>
      <c r="T12" s="145" t="e">
        <f t="shared" si="2"/>
        <v>#REF!</v>
      </c>
      <c r="U12" s="145" t="e">
        <f t="shared" si="2"/>
        <v>#REF!</v>
      </c>
      <c r="V12" s="145" t="e">
        <f t="shared" si="2"/>
        <v>#REF!</v>
      </c>
      <c r="W12" s="145" t="e">
        <f t="shared" si="2"/>
        <v>#REF!</v>
      </c>
      <c r="X12" s="145" t="e">
        <f t="shared" si="2"/>
        <v>#REF!</v>
      </c>
      <c r="Y12" s="145" t="e">
        <f t="shared" si="2"/>
        <v>#REF!</v>
      </c>
      <c r="Z12" s="145" t="e">
        <f t="shared" si="2"/>
        <v>#REF!</v>
      </c>
      <c r="AA12" s="145" t="e">
        <f t="shared" si="2"/>
        <v>#REF!</v>
      </c>
      <c r="AB12" s="145" t="e">
        <f t="shared" si="2"/>
        <v>#REF!</v>
      </c>
      <c r="AC12" s="145" t="e">
        <f t="shared" si="2"/>
        <v>#REF!</v>
      </c>
      <c r="AD12" s="145" t="e">
        <f t="shared" si="2"/>
        <v>#REF!</v>
      </c>
      <c r="AE12" s="145" t="e">
        <f t="shared" si="2"/>
        <v>#REF!</v>
      </c>
      <c r="AF12" s="145" t="e">
        <f t="shared" si="2"/>
        <v>#REF!</v>
      </c>
      <c r="AG12" s="145" t="e">
        <f t="shared" si="2"/>
        <v>#REF!</v>
      </c>
      <c r="AH12" s="145" t="e">
        <f t="shared" si="2"/>
        <v>#REF!</v>
      </c>
      <c r="AI12" s="145" t="e">
        <f t="shared" si="2"/>
        <v>#REF!</v>
      </c>
      <c r="AJ12" s="145" t="e">
        <f t="shared" si="2"/>
        <v>#REF!</v>
      </c>
    </row>
    <row r="13" spans="1:36" ht="14.25">
      <c r="A13" s="154" t="s">
        <v>170</v>
      </c>
      <c r="B13" s="285" t="s">
        <v>171</v>
      </c>
      <c r="C13" s="286"/>
      <c r="D13" s="287"/>
      <c r="E13" s="189"/>
      <c r="F13" s="169">
        <f>+SUM(B12:D12)/3</f>
        <v>0.10852458897918715</v>
      </c>
      <c r="G13" s="169">
        <f>+SUM(C12:D12,F12)/3</f>
        <v>0.0733215026988069</v>
      </c>
      <c r="H13" s="169">
        <f>+SUM(D12,F12:G12)/3</f>
        <v>0.05146522381360802</v>
      </c>
      <c r="I13" s="169">
        <f aca="true" t="shared" si="3" ref="I13:AJ13">+SUM(F12:H12)/3</f>
        <v>0.047819804445261106</v>
      </c>
      <c r="J13" s="169">
        <f t="shared" si="3"/>
        <v>0.0475062279107912</v>
      </c>
      <c r="K13" s="169">
        <f t="shared" si="3"/>
        <v>0.04988564057182074</v>
      </c>
      <c r="L13" s="169">
        <f t="shared" si="3"/>
        <v>0.05313115138044828</v>
      </c>
      <c r="M13" s="169">
        <f t="shared" si="3"/>
        <v>0.0583163505731299</v>
      </c>
      <c r="N13" s="169">
        <f t="shared" si="3"/>
        <v>0.060562106919832624</v>
      </c>
      <c r="O13" s="169">
        <f t="shared" si="3"/>
        <v>0.05896361975861014</v>
      </c>
      <c r="P13" s="169" t="e">
        <f t="shared" si="3"/>
        <v>#REF!</v>
      </c>
      <c r="Q13" s="169" t="e">
        <f t="shared" si="3"/>
        <v>#REF!</v>
      </c>
      <c r="R13" s="169" t="e">
        <f t="shared" si="3"/>
        <v>#REF!</v>
      </c>
      <c r="S13" s="169" t="e">
        <f t="shared" si="3"/>
        <v>#REF!</v>
      </c>
      <c r="T13" s="169" t="e">
        <f t="shared" si="3"/>
        <v>#REF!</v>
      </c>
      <c r="U13" s="169" t="e">
        <f t="shared" si="3"/>
        <v>#REF!</v>
      </c>
      <c r="V13" s="169" t="e">
        <f t="shared" si="3"/>
        <v>#REF!</v>
      </c>
      <c r="W13" s="169" t="e">
        <f t="shared" si="3"/>
        <v>#REF!</v>
      </c>
      <c r="X13" s="169" t="e">
        <f t="shared" si="3"/>
        <v>#REF!</v>
      </c>
      <c r="Y13" s="169" t="e">
        <f t="shared" si="3"/>
        <v>#REF!</v>
      </c>
      <c r="Z13" s="169" t="e">
        <f t="shared" si="3"/>
        <v>#REF!</v>
      </c>
      <c r="AA13" s="169" t="e">
        <f t="shared" si="3"/>
        <v>#REF!</v>
      </c>
      <c r="AB13" s="169" t="e">
        <f t="shared" si="3"/>
        <v>#REF!</v>
      </c>
      <c r="AC13" s="169" t="e">
        <f t="shared" si="3"/>
        <v>#REF!</v>
      </c>
      <c r="AD13" s="169" t="e">
        <f t="shared" si="3"/>
        <v>#REF!</v>
      </c>
      <c r="AE13" s="169" t="e">
        <f t="shared" si="3"/>
        <v>#REF!</v>
      </c>
      <c r="AF13" s="169" t="e">
        <f t="shared" si="3"/>
        <v>#REF!</v>
      </c>
      <c r="AG13" s="169" t="e">
        <f t="shared" si="3"/>
        <v>#REF!</v>
      </c>
      <c r="AH13" s="169" t="e">
        <f t="shared" si="3"/>
        <v>#REF!</v>
      </c>
      <c r="AI13" s="169" t="e">
        <f t="shared" si="3"/>
        <v>#REF!</v>
      </c>
      <c r="AJ13" s="169" t="e">
        <f t="shared" si="3"/>
        <v>#REF!</v>
      </c>
    </row>
    <row r="14" spans="2:36" ht="14.25">
      <c r="B14" s="156"/>
      <c r="C14" s="156"/>
      <c r="D14" s="167" t="s">
        <v>173</v>
      </c>
      <c r="E14" s="167"/>
      <c r="F14" s="168">
        <f>+Zal_1_WPF_uklad_budzetu_ryzyko!C51</f>
        <v>0.1085</v>
      </c>
      <c r="G14" s="168">
        <f>+Zal_1_WPF_uklad_budzetu_ryzyko!D51</f>
        <v>0.0733</v>
      </c>
      <c r="H14" s="168">
        <f>+Zal_1_WPF_uklad_budzetu_ryzyko!E51</f>
        <v>0.0515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s="184" customFormat="1" ht="14.25">
      <c r="A15" s="190"/>
      <c r="B15" s="191"/>
      <c r="C15" s="191"/>
      <c r="D15" s="167" t="s">
        <v>208</v>
      </c>
      <c r="E15" s="191"/>
      <c r="F15" s="192">
        <f>+SUM(B12:C12,E12)/3</f>
        <v>0.08930747611839251</v>
      </c>
      <c r="G15" s="192">
        <f>+(C12+E12+F12)/3</f>
        <v>0.054104389838012266</v>
      </c>
      <c r="H15" s="192">
        <f>+(E12+F12+G12)/3</f>
        <v>0.03224811095281339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</row>
    <row r="16" spans="1:36" ht="14.25">
      <c r="A16" s="155" t="s">
        <v>172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297" t="s">
        <v>174</v>
      </c>
      <c r="C17" s="297"/>
      <c r="D17" s="297"/>
      <c r="E17" s="298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175</v>
      </c>
      <c r="B18" s="288" t="s">
        <v>171</v>
      </c>
      <c r="C18" s="289"/>
      <c r="D18" s="289"/>
      <c r="E18" s="290"/>
      <c r="F18" s="158">
        <f>+Zal_1_WPF_uklad_budzetu_ryzyko!C39</f>
        <v>500000</v>
      </c>
      <c r="G18" s="158">
        <f>+Zal_1_WPF_uklad_budzetu_ryzyko!D39</f>
        <v>700000</v>
      </c>
      <c r="H18" s="158">
        <f>+Zal_1_WPF_uklad_budzetu_ryzyko!E39</f>
        <v>790000</v>
      </c>
      <c r="I18" s="158">
        <f>+Zal_1_WPF_uklad_budzetu_ryzyko!F39</f>
        <v>770000</v>
      </c>
      <c r="J18" s="158">
        <f>+Zal_1_WPF_uklad_budzetu_ryzyko!G39</f>
        <v>850000</v>
      </c>
      <c r="K18" s="158">
        <f>+Zal_1_WPF_uklad_budzetu_ryzyko!H39</f>
        <v>1000000</v>
      </c>
      <c r="L18" s="158">
        <f>+Zal_1_WPF_uklad_budzetu_ryzyko!I39</f>
        <v>650000</v>
      </c>
      <c r="M18" s="158">
        <f>+Zal_1_WPF_uklad_budzetu_ryzyko!J39</f>
        <v>640000</v>
      </c>
      <c r="N18" s="158">
        <f>+Zal_1_WPF_uklad_budzetu_ryzyko!K39</f>
        <v>490000</v>
      </c>
      <c r="O18" s="158" t="e">
        <f>+Zal_1_WPF_uklad_budzetu_ryzyko!#REF!</f>
        <v>#REF!</v>
      </c>
      <c r="P18" s="158" t="e">
        <f>+Zal_1_WPF_uklad_budzetu_ryzyko!#REF!</f>
        <v>#REF!</v>
      </c>
      <c r="Q18" s="158" t="e">
        <f>+Zal_1_WPF_uklad_budzetu_ryzyko!#REF!</f>
        <v>#REF!</v>
      </c>
      <c r="R18" s="158" t="e">
        <f>+Zal_1_WPF_uklad_budzetu_ryzyko!#REF!</f>
        <v>#REF!</v>
      </c>
      <c r="S18" s="158" t="e">
        <f>+Zal_1_WPF_uklad_budzetu_ryzyko!#REF!</f>
        <v>#REF!</v>
      </c>
      <c r="T18" s="158" t="e">
        <f>+Zal_1_WPF_uklad_budzetu_ryzyko!#REF!</f>
        <v>#REF!</v>
      </c>
      <c r="U18" s="158" t="e">
        <f>+Zal_1_WPF_uklad_budzetu_ryzyko!#REF!</f>
        <v>#REF!</v>
      </c>
      <c r="V18" s="158" t="e">
        <f>+Zal_1_WPF_uklad_budzetu_ryzyko!#REF!</f>
        <v>#REF!</v>
      </c>
      <c r="W18" s="158" t="e">
        <f>+Zal_1_WPF_uklad_budzetu_ryzyko!#REF!</f>
        <v>#REF!</v>
      </c>
      <c r="X18" s="158" t="e">
        <f>+Zal_1_WPF_uklad_budzetu_ryzyko!#REF!</f>
        <v>#REF!</v>
      </c>
      <c r="Y18" s="158" t="e">
        <f>+Zal_1_WPF_uklad_budzetu_ryzyko!#REF!</f>
        <v>#REF!</v>
      </c>
      <c r="Z18" s="158" t="e">
        <f>+Zal_1_WPF_uklad_budzetu_ryzyko!#REF!</f>
        <v>#REF!</v>
      </c>
      <c r="AA18" s="158" t="e">
        <f>+Zal_1_WPF_uklad_budzetu_ryzyko!#REF!</f>
        <v>#REF!</v>
      </c>
      <c r="AB18" s="158" t="e">
        <f>+Zal_1_WPF_uklad_budzetu_ryzyko!#REF!</f>
        <v>#REF!</v>
      </c>
      <c r="AC18" s="158" t="e">
        <f>+Zal_1_WPF_uklad_budzetu_ryzyko!#REF!</f>
        <v>#REF!</v>
      </c>
      <c r="AD18" s="158" t="e">
        <f>+Zal_1_WPF_uklad_budzetu_ryzyko!#REF!</f>
        <v>#REF!</v>
      </c>
      <c r="AE18" s="158" t="e">
        <f>+Zal_1_WPF_uklad_budzetu_ryzyko!#REF!</f>
        <v>#REF!</v>
      </c>
      <c r="AF18" s="158" t="e">
        <f>+Zal_1_WPF_uklad_budzetu_ryzyko!#REF!</f>
        <v>#REF!</v>
      </c>
      <c r="AG18" s="158" t="e">
        <f>+Zal_1_WPF_uklad_budzetu_ryzyko!#REF!</f>
        <v>#REF!</v>
      </c>
      <c r="AH18" s="158" t="e">
        <f>+Zal_1_WPF_uklad_budzetu_ryzyko!#REF!</f>
        <v>#REF!</v>
      </c>
      <c r="AI18" s="158" t="e">
        <f>+Zal_1_WPF_uklad_budzetu_ryzyko!#REF!</f>
        <v>#REF!</v>
      </c>
      <c r="AJ18" s="158" t="e">
        <f>+Zal_1_WPF_uklad_budzetu_ryzyko!#REF!</f>
        <v>#REF!</v>
      </c>
    </row>
    <row r="19" spans="1:36" ht="14.25">
      <c r="A19" s="159" t="s">
        <v>182</v>
      </c>
      <c r="B19" s="291"/>
      <c r="C19" s="292"/>
      <c r="D19" s="292"/>
      <c r="E19" s="293"/>
      <c r="F19" s="144">
        <f>+Zal_1_WPF_uklad_budzetu_ryzyko!C23</f>
        <v>400000</v>
      </c>
      <c r="G19" s="144">
        <f>+Zal_1_WPF_uklad_budzetu_ryzyko!D23</f>
        <v>400000</v>
      </c>
      <c r="H19" s="144">
        <f>+Zal_1_WPF_uklad_budzetu_ryzyko!E23</f>
        <v>375000</v>
      </c>
      <c r="I19" s="144">
        <f>+Zal_1_WPF_uklad_budzetu_ryzyko!F23</f>
        <v>330000</v>
      </c>
      <c r="J19" s="144">
        <f>+Zal_1_WPF_uklad_budzetu_ryzyko!G23</f>
        <v>270000</v>
      </c>
      <c r="K19" s="144">
        <f>+Zal_1_WPF_uklad_budzetu_ryzyko!H23</f>
        <v>225000</v>
      </c>
      <c r="L19" s="144">
        <f>+Zal_1_WPF_uklad_budzetu_ryzyko!I23</f>
        <v>150000</v>
      </c>
      <c r="M19" s="144">
        <f>+Zal_1_WPF_uklad_budzetu_ryzyko!J23</f>
        <v>100000</v>
      </c>
      <c r="N19" s="144">
        <f>+Zal_1_WPF_uklad_budzetu_ryzyko!K23</f>
        <v>50000</v>
      </c>
      <c r="O19" s="144" t="e">
        <f>+Zal_1_WPF_uklad_budzetu_ryzyko!#REF!</f>
        <v>#REF!</v>
      </c>
      <c r="P19" s="144" t="e">
        <f>+Zal_1_WPF_uklad_budzetu_ryzyko!#REF!</f>
        <v>#REF!</v>
      </c>
      <c r="Q19" s="144" t="e">
        <f>+Zal_1_WPF_uklad_budzetu_ryzyko!#REF!</f>
        <v>#REF!</v>
      </c>
      <c r="R19" s="144" t="e">
        <f>+Zal_1_WPF_uklad_budzetu_ryzyko!#REF!</f>
        <v>#REF!</v>
      </c>
      <c r="S19" s="144" t="e">
        <f>+Zal_1_WPF_uklad_budzetu_ryzyko!#REF!</f>
        <v>#REF!</v>
      </c>
      <c r="T19" s="144" t="e">
        <f>+Zal_1_WPF_uklad_budzetu_ryzyko!#REF!</f>
        <v>#REF!</v>
      </c>
      <c r="U19" s="144" t="e">
        <f>+Zal_1_WPF_uklad_budzetu_ryzyko!#REF!</f>
        <v>#REF!</v>
      </c>
      <c r="V19" s="144" t="e">
        <f>+Zal_1_WPF_uklad_budzetu_ryzyko!#REF!</f>
        <v>#REF!</v>
      </c>
      <c r="W19" s="144" t="e">
        <f>+Zal_1_WPF_uklad_budzetu_ryzyko!#REF!</f>
        <v>#REF!</v>
      </c>
      <c r="X19" s="144" t="e">
        <f>+Zal_1_WPF_uklad_budzetu_ryzyko!#REF!</f>
        <v>#REF!</v>
      </c>
      <c r="Y19" s="144" t="e">
        <f>+Zal_1_WPF_uklad_budzetu_ryzyko!#REF!</f>
        <v>#REF!</v>
      </c>
      <c r="Z19" s="144" t="e">
        <f>+Zal_1_WPF_uklad_budzetu_ryzyko!#REF!</f>
        <v>#REF!</v>
      </c>
      <c r="AA19" s="144" t="e">
        <f>+Zal_1_WPF_uklad_budzetu_ryzyko!#REF!</f>
        <v>#REF!</v>
      </c>
      <c r="AB19" s="144" t="e">
        <f>+Zal_1_WPF_uklad_budzetu_ryzyko!#REF!</f>
        <v>#REF!</v>
      </c>
      <c r="AC19" s="144" t="e">
        <f>+Zal_1_WPF_uklad_budzetu_ryzyko!#REF!</f>
        <v>#REF!</v>
      </c>
      <c r="AD19" s="144" t="e">
        <f>+Zal_1_WPF_uklad_budzetu_ryzyko!#REF!</f>
        <v>#REF!</v>
      </c>
      <c r="AE19" s="144" t="e">
        <f>+Zal_1_WPF_uklad_budzetu_ryzyko!#REF!</f>
        <v>#REF!</v>
      </c>
      <c r="AF19" s="144" t="e">
        <f>+Zal_1_WPF_uklad_budzetu_ryzyko!#REF!</f>
        <v>#REF!</v>
      </c>
      <c r="AG19" s="144" t="e">
        <f>+Zal_1_WPF_uklad_budzetu_ryzyko!#REF!</f>
        <v>#REF!</v>
      </c>
      <c r="AH19" s="144" t="e">
        <f>+Zal_1_WPF_uklad_budzetu_ryzyko!#REF!</f>
        <v>#REF!</v>
      </c>
      <c r="AI19" s="144" t="e">
        <f>+Zal_1_WPF_uklad_budzetu_ryzyko!#REF!</f>
        <v>#REF!</v>
      </c>
      <c r="AJ19" s="144" t="e">
        <f>+Zal_1_WPF_uklad_budzetu_ryzyko!#REF!</f>
        <v>#REF!</v>
      </c>
    </row>
    <row r="20" spans="1:36" ht="14.25">
      <c r="A20" s="159" t="s">
        <v>176</v>
      </c>
      <c r="B20" s="291"/>
      <c r="C20" s="292"/>
      <c r="D20" s="292"/>
      <c r="E20" s="293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 t="e">
        <f>+Zal_1_WPF_uklad_budzetu_ryzyko!#REF!</f>
        <v>#REF!</v>
      </c>
      <c r="P20" s="144" t="e">
        <f>+Zal_1_WPF_uklad_budzetu_ryzyko!#REF!</f>
        <v>#REF!</v>
      </c>
      <c r="Q20" s="144" t="e">
        <f>+Zal_1_WPF_uklad_budzetu_ryzyko!#REF!</f>
        <v>#REF!</v>
      </c>
      <c r="R20" s="144" t="e">
        <f>+Zal_1_WPF_uklad_budzetu_ryzyko!#REF!</f>
        <v>#REF!</v>
      </c>
      <c r="S20" s="144" t="e">
        <f>+Zal_1_WPF_uklad_budzetu_ryzyko!#REF!</f>
        <v>#REF!</v>
      </c>
      <c r="T20" s="144" t="e">
        <f>+Zal_1_WPF_uklad_budzetu_ryzyko!#REF!</f>
        <v>#REF!</v>
      </c>
      <c r="U20" s="144" t="e">
        <f>+Zal_1_WPF_uklad_budzetu_ryzyko!#REF!</f>
        <v>#REF!</v>
      </c>
      <c r="V20" s="144" t="e">
        <f>+Zal_1_WPF_uklad_budzetu_ryzyko!#REF!</f>
        <v>#REF!</v>
      </c>
      <c r="W20" s="144" t="e">
        <f>+Zal_1_WPF_uklad_budzetu_ryzyko!#REF!</f>
        <v>#REF!</v>
      </c>
      <c r="X20" s="144" t="e">
        <f>+Zal_1_WPF_uklad_budzetu_ryzyko!#REF!</f>
        <v>#REF!</v>
      </c>
      <c r="Y20" s="144" t="e">
        <f>+Zal_1_WPF_uklad_budzetu_ryzyko!#REF!</f>
        <v>#REF!</v>
      </c>
      <c r="Z20" s="144" t="e">
        <f>+Zal_1_WPF_uklad_budzetu_ryzyko!#REF!</f>
        <v>#REF!</v>
      </c>
      <c r="AA20" s="144" t="e">
        <f>+Zal_1_WPF_uklad_budzetu_ryzyko!#REF!</f>
        <v>#REF!</v>
      </c>
      <c r="AB20" s="144" t="e">
        <f>+Zal_1_WPF_uklad_budzetu_ryzyko!#REF!</f>
        <v>#REF!</v>
      </c>
      <c r="AC20" s="144" t="e">
        <f>+Zal_1_WPF_uklad_budzetu_ryzyko!#REF!</f>
        <v>#REF!</v>
      </c>
      <c r="AD20" s="144" t="e">
        <f>+Zal_1_WPF_uklad_budzetu_ryzyko!#REF!</f>
        <v>#REF!</v>
      </c>
      <c r="AE20" s="144" t="e">
        <f>+Zal_1_WPF_uklad_budzetu_ryzyko!#REF!</f>
        <v>#REF!</v>
      </c>
      <c r="AF20" s="144" t="e">
        <f>+Zal_1_WPF_uklad_budzetu_ryzyko!#REF!</f>
        <v>#REF!</v>
      </c>
      <c r="AG20" s="144" t="e">
        <f>+Zal_1_WPF_uklad_budzetu_ryzyko!#REF!</f>
        <v>#REF!</v>
      </c>
      <c r="AH20" s="144" t="e">
        <f>+Zal_1_WPF_uklad_budzetu_ryzyko!#REF!</f>
        <v>#REF!</v>
      </c>
      <c r="AI20" s="144" t="e">
        <f>+Zal_1_WPF_uklad_budzetu_ryzyko!#REF!</f>
        <v>#REF!</v>
      </c>
      <c r="AJ20" s="144" t="e">
        <f>+Zal_1_WPF_uklad_budzetu_ryzyko!#REF!</f>
        <v>#REF!</v>
      </c>
    </row>
    <row r="21" spans="1:36" ht="15" thickBot="1">
      <c r="A21" s="160" t="s">
        <v>177</v>
      </c>
      <c r="B21" s="291"/>
      <c r="C21" s="292"/>
      <c r="D21" s="292"/>
      <c r="E21" s="293"/>
      <c r="F21" s="161">
        <f>+SUM(F18:F20)</f>
        <v>900000</v>
      </c>
      <c r="G21" s="161">
        <f aca="true" t="shared" si="4" ref="G21:AJ21">+SUM(G18:G20)</f>
        <v>1100000</v>
      </c>
      <c r="H21" s="161">
        <f t="shared" si="4"/>
        <v>1165000</v>
      </c>
      <c r="I21" s="161">
        <f t="shared" si="4"/>
        <v>1100000</v>
      </c>
      <c r="J21" s="161">
        <f t="shared" si="4"/>
        <v>1120000</v>
      </c>
      <c r="K21" s="161">
        <f t="shared" si="4"/>
        <v>1225000</v>
      </c>
      <c r="L21" s="161">
        <f t="shared" si="4"/>
        <v>800000</v>
      </c>
      <c r="M21" s="161">
        <f t="shared" si="4"/>
        <v>740000</v>
      </c>
      <c r="N21" s="161">
        <f t="shared" si="4"/>
        <v>540000</v>
      </c>
      <c r="O21" s="161" t="e">
        <f t="shared" si="4"/>
        <v>#REF!</v>
      </c>
      <c r="P21" s="161" t="e">
        <f t="shared" si="4"/>
        <v>#REF!</v>
      </c>
      <c r="Q21" s="161" t="e">
        <f t="shared" si="4"/>
        <v>#REF!</v>
      </c>
      <c r="R21" s="161" t="e">
        <f t="shared" si="4"/>
        <v>#REF!</v>
      </c>
      <c r="S21" s="161" t="e">
        <f t="shared" si="4"/>
        <v>#REF!</v>
      </c>
      <c r="T21" s="161" t="e">
        <f t="shared" si="4"/>
        <v>#REF!</v>
      </c>
      <c r="U21" s="161" t="e">
        <f t="shared" si="4"/>
        <v>#REF!</v>
      </c>
      <c r="V21" s="161" t="e">
        <f t="shared" si="4"/>
        <v>#REF!</v>
      </c>
      <c r="W21" s="161" t="e">
        <f t="shared" si="4"/>
        <v>#REF!</v>
      </c>
      <c r="X21" s="161" t="e">
        <f t="shared" si="4"/>
        <v>#REF!</v>
      </c>
      <c r="Y21" s="161" t="e">
        <f t="shared" si="4"/>
        <v>#REF!</v>
      </c>
      <c r="Z21" s="161" t="e">
        <f t="shared" si="4"/>
        <v>#REF!</v>
      </c>
      <c r="AA21" s="161" t="e">
        <f t="shared" si="4"/>
        <v>#REF!</v>
      </c>
      <c r="AB21" s="161" t="e">
        <f t="shared" si="4"/>
        <v>#REF!</v>
      </c>
      <c r="AC21" s="161" t="e">
        <f t="shared" si="4"/>
        <v>#REF!</v>
      </c>
      <c r="AD21" s="161" t="e">
        <f t="shared" si="4"/>
        <v>#REF!</v>
      </c>
      <c r="AE21" s="161" t="e">
        <f t="shared" si="4"/>
        <v>#REF!</v>
      </c>
      <c r="AF21" s="161" t="e">
        <f t="shared" si="4"/>
        <v>#REF!</v>
      </c>
      <c r="AG21" s="161" t="e">
        <f t="shared" si="4"/>
        <v>#REF!</v>
      </c>
      <c r="AH21" s="161" t="e">
        <f t="shared" si="4"/>
        <v>#REF!</v>
      </c>
      <c r="AI21" s="161" t="e">
        <f t="shared" si="4"/>
        <v>#REF!</v>
      </c>
      <c r="AJ21" s="161" t="e">
        <f t="shared" si="4"/>
        <v>#REF!</v>
      </c>
    </row>
    <row r="22" spans="1:36" ht="15" thickBot="1">
      <c r="A22" s="162" t="s">
        <v>185</v>
      </c>
      <c r="B22" s="291"/>
      <c r="C22" s="292"/>
      <c r="D22" s="292"/>
      <c r="E22" s="293"/>
      <c r="F22" s="163">
        <f>+F11</f>
        <v>23266745</v>
      </c>
      <c r="G22" s="163">
        <f aca="true" t="shared" si="5" ref="G22:AJ22">+G11</f>
        <v>23705610</v>
      </c>
      <c r="H22" s="163">
        <f t="shared" si="5"/>
        <v>23547000</v>
      </c>
      <c r="I22" s="163">
        <f t="shared" si="5"/>
        <v>24018000</v>
      </c>
      <c r="J22" s="163">
        <f t="shared" si="5"/>
        <v>24500000</v>
      </c>
      <c r="K22" s="163">
        <f t="shared" si="5"/>
        <v>24800000</v>
      </c>
      <c r="L22" s="163">
        <f t="shared" si="5"/>
        <v>25100000</v>
      </c>
      <c r="M22" s="163">
        <f t="shared" si="5"/>
        <v>25360000</v>
      </c>
      <c r="N22" s="163">
        <f t="shared" si="5"/>
        <v>25360000</v>
      </c>
      <c r="O22" s="163" t="e">
        <f t="shared" si="5"/>
        <v>#REF!</v>
      </c>
      <c r="P22" s="163" t="e">
        <f t="shared" si="5"/>
        <v>#REF!</v>
      </c>
      <c r="Q22" s="163" t="e">
        <f t="shared" si="5"/>
        <v>#REF!</v>
      </c>
      <c r="R22" s="163" t="e">
        <f t="shared" si="5"/>
        <v>#REF!</v>
      </c>
      <c r="S22" s="163" t="e">
        <f t="shared" si="5"/>
        <v>#REF!</v>
      </c>
      <c r="T22" s="163" t="e">
        <f t="shared" si="5"/>
        <v>#REF!</v>
      </c>
      <c r="U22" s="163" t="e">
        <f t="shared" si="5"/>
        <v>#REF!</v>
      </c>
      <c r="V22" s="163" t="e">
        <f t="shared" si="5"/>
        <v>#REF!</v>
      </c>
      <c r="W22" s="163" t="e">
        <f t="shared" si="5"/>
        <v>#REF!</v>
      </c>
      <c r="X22" s="163" t="e">
        <f t="shared" si="5"/>
        <v>#REF!</v>
      </c>
      <c r="Y22" s="163" t="e">
        <f t="shared" si="5"/>
        <v>#REF!</v>
      </c>
      <c r="Z22" s="163" t="e">
        <f t="shared" si="5"/>
        <v>#REF!</v>
      </c>
      <c r="AA22" s="163" t="e">
        <f t="shared" si="5"/>
        <v>#REF!</v>
      </c>
      <c r="AB22" s="163" t="e">
        <f t="shared" si="5"/>
        <v>#REF!</v>
      </c>
      <c r="AC22" s="163" t="e">
        <f t="shared" si="5"/>
        <v>#REF!</v>
      </c>
      <c r="AD22" s="163" t="e">
        <f t="shared" si="5"/>
        <v>#REF!</v>
      </c>
      <c r="AE22" s="163" t="e">
        <f t="shared" si="5"/>
        <v>#REF!</v>
      </c>
      <c r="AF22" s="163" t="e">
        <f t="shared" si="5"/>
        <v>#REF!</v>
      </c>
      <c r="AG22" s="163" t="e">
        <f t="shared" si="5"/>
        <v>#REF!</v>
      </c>
      <c r="AH22" s="163" t="e">
        <f t="shared" si="5"/>
        <v>#REF!</v>
      </c>
      <c r="AI22" s="163" t="e">
        <f t="shared" si="5"/>
        <v>#REF!</v>
      </c>
      <c r="AJ22" s="163" t="e">
        <f t="shared" si="5"/>
        <v>#REF!</v>
      </c>
    </row>
    <row r="23" spans="1:36" ht="36">
      <c r="A23" s="164" t="s">
        <v>186</v>
      </c>
      <c r="B23" s="291"/>
      <c r="C23" s="292"/>
      <c r="D23" s="292"/>
      <c r="E23" s="293"/>
      <c r="F23" s="147">
        <f>+IF(F22&lt;&gt;0,F21/F22,0)</f>
        <v>0.038681818191586316</v>
      </c>
      <c r="G23" s="147">
        <f aca="true" t="shared" si="6" ref="G23:AJ23">+IF(G22&lt;&gt;0,G21/G22,0)</f>
        <v>0.04640251822247983</v>
      </c>
      <c r="H23" s="147">
        <f t="shared" si="6"/>
        <v>0.04947551705100437</v>
      </c>
      <c r="I23" s="147">
        <f t="shared" si="6"/>
        <v>0.04579898409526189</v>
      </c>
      <c r="J23" s="147">
        <f t="shared" si="6"/>
        <v>0.045714285714285714</v>
      </c>
      <c r="K23" s="147">
        <f t="shared" si="6"/>
        <v>0.04939516129032258</v>
      </c>
      <c r="L23" s="147">
        <f t="shared" si="6"/>
        <v>0.03187250996015936</v>
      </c>
      <c r="M23" s="147">
        <f t="shared" si="6"/>
        <v>0.02917981072555205</v>
      </c>
      <c r="N23" s="147">
        <f t="shared" si="6"/>
        <v>0.021293375394321766</v>
      </c>
      <c r="O23" s="147" t="e">
        <f t="shared" si="6"/>
        <v>#REF!</v>
      </c>
      <c r="P23" s="147" t="e">
        <f t="shared" si="6"/>
        <v>#REF!</v>
      </c>
      <c r="Q23" s="147" t="e">
        <f t="shared" si="6"/>
        <v>#REF!</v>
      </c>
      <c r="R23" s="147" t="e">
        <f t="shared" si="6"/>
        <v>#REF!</v>
      </c>
      <c r="S23" s="147" t="e">
        <f t="shared" si="6"/>
        <v>#REF!</v>
      </c>
      <c r="T23" s="147" t="e">
        <f t="shared" si="6"/>
        <v>#REF!</v>
      </c>
      <c r="U23" s="147" t="e">
        <f t="shared" si="6"/>
        <v>#REF!</v>
      </c>
      <c r="V23" s="147" t="e">
        <f t="shared" si="6"/>
        <v>#REF!</v>
      </c>
      <c r="W23" s="147" t="e">
        <f t="shared" si="6"/>
        <v>#REF!</v>
      </c>
      <c r="X23" s="147" t="e">
        <f t="shared" si="6"/>
        <v>#REF!</v>
      </c>
      <c r="Y23" s="147" t="e">
        <f t="shared" si="6"/>
        <v>#REF!</v>
      </c>
      <c r="Z23" s="147" t="e">
        <f t="shared" si="6"/>
        <v>#REF!</v>
      </c>
      <c r="AA23" s="147" t="e">
        <f t="shared" si="6"/>
        <v>#REF!</v>
      </c>
      <c r="AB23" s="147" t="e">
        <f t="shared" si="6"/>
        <v>#REF!</v>
      </c>
      <c r="AC23" s="147" t="e">
        <f t="shared" si="6"/>
        <v>#REF!</v>
      </c>
      <c r="AD23" s="147" t="e">
        <f t="shared" si="6"/>
        <v>#REF!</v>
      </c>
      <c r="AE23" s="147" t="e">
        <f t="shared" si="6"/>
        <v>#REF!</v>
      </c>
      <c r="AF23" s="147" t="e">
        <f t="shared" si="6"/>
        <v>#REF!</v>
      </c>
      <c r="AG23" s="147" t="e">
        <f t="shared" si="6"/>
        <v>#REF!</v>
      </c>
      <c r="AH23" s="147" t="e">
        <f t="shared" si="6"/>
        <v>#REF!</v>
      </c>
      <c r="AI23" s="147" t="e">
        <f t="shared" si="6"/>
        <v>#REF!</v>
      </c>
      <c r="AJ23" s="147" t="e">
        <f t="shared" si="6"/>
        <v>#REF!</v>
      </c>
    </row>
    <row r="24" spans="1:36" ht="31.5" customHeight="1">
      <c r="A24" s="165" t="s">
        <v>178</v>
      </c>
      <c r="B24" s="291"/>
      <c r="C24" s="292"/>
      <c r="D24" s="292"/>
      <c r="E24" s="293"/>
      <c r="F24" s="142" t="str">
        <f>+IF(F23&lt;=F13,"ZGODNE","NIE ZGODNE")</f>
        <v>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e">
        <f t="shared" si="7"/>
        <v>#REF!</v>
      </c>
      <c r="P24" s="142" t="e">
        <f t="shared" si="7"/>
        <v>#REF!</v>
      </c>
      <c r="Q24" s="142" t="e">
        <f t="shared" si="7"/>
        <v>#REF!</v>
      </c>
      <c r="R24" s="142" t="e">
        <f t="shared" si="7"/>
        <v>#REF!</v>
      </c>
      <c r="S24" s="142" t="e">
        <f t="shared" si="7"/>
        <v>#REF!</v>
      </c>
      <c r="T24" s="142" t="e">
        <f t="shared" si="7"/>
        <v>#REF!</v>
      </c>
      <c r="U24" s="142" t="e">
        <f t="shared" si="7"/>
        <v>#REF!</v>
      </c>
      <c r="V24" s="142" t="e">
        <f t="shared" si="7"/>
        <v>#REF!</v>
      </c>
      <c r="W24" s="142" t="e">
        <f t="shared" si="7"/>
        <v>#REF!</v>
      </c>
      <c r="X24" s="142" t="e">
        <f t="shared" si="7"/>
        <v>#REF!</v>
      </c>
      <c r="Y24" s="142" t="e">
        <f t="shared" si="7"/>
        <v>#REF!</v>
      </c>
      <c r="Z24" s="142" t="e">
        <f t="shared" si="7"/>
        <v>#REF!</v>
      </c>
      <c r="AA24" s="142" t="e">
        <f t="shared" si="7"/>
        <v>#REF!</v>
      </c>
      <c r="AB24" s="142" t="e">
        <f t="shared" si="7"/>
        <v>#REF!</v>
      </c>
      <c r="AC24" s="142" t="e">
        <f t="shared" si="7"/>
        <v>#REF!</v>
      </c>
      <c r="AD24" s="142" t="e">
        <f t="shared" si="7"/>
        <v>#REF!</v>
      </c>
      <c r="AE24" s="142" t="e">
        <f t="shared" si="7"/>
        <v>#REF!</v>
      </c>
      <c r="AF24" s="142" t="e">
        <f t="shared" si="7"/>
        <v>#REF!</v>
      </c>
      <c r="AG24" s="142" t="e">
        <f t="shared" si="7"/>
        <v>#REF!</v>
      </c>
      <c r="AH24" s="142" t="e">
        <f t="shared" si="7"/>
        <v>#REF!</v>
      </c>
      <c r="AI24" s="142" t="e">
        <f t="shared" si="7"/>
        <v>#REF!</v>
      </c>
      <c r="AJ24" s="142" t="e">
        <f t="shared" si="7"/>
        <v>#REF!</v>
      </c>
    </row>
    <row r="25" spans="1:36" ht="24">
      <c r="A25" s="170" t="s">
        <v>187</v>
      </c>
      <c r="B25" s="291"/>
      <c r="C25" s="292"/>
      <c r="D25" s="292"/>
      <c r="E25" s="293"/>
      <c r="F25" s="144">
        <f>+Zal_1_WPF_uklad_budzetu_ryzyko!C40+Zal_1_WPF_uklad_budzetu_ryzyko!C18</f>
        <v>0</v>
      </c>
      <c r="G25" s="144">
        <f>+Zal_1_WPF_uklad_budzetu_ryzyko!D40+Zal_1_WPF_uklad_budzetu_ryzyko!D18</f>
        <v>0</v>
      </c>
      <c r="H25" s="144">
        <f>+Zal_1_WPF_uklad_budzetu_ryzyko!E40+Zal_1_WPF_uklad_budzetu_ryzyko!E18</f>
        <v>0</v>
      </c>
      <c r="I25" s="144">
        <f>+Zal_1_WPF_uklad_budzetu_ryzyko!F40+Zal_1_WPF_uklad_budzetu_ryzyko!F18</f>
        <v>0</v>
      </c>
      <c r="J25" s="144">
        <f>+Zal_1_WPF_uklad_budzetu_ryzyko!G40+Zal_1_WPF_uklad_budzetu_ryzyko!G18</f>
        <v>0</v>
      </c>
      <c r="K25" s="144">
        <f>+Zal_1_WPF_uklad_budzetu_ryzyko!H40+Zal_1_WPF_uklad_budzetu_ryzyko!H18</f>
        <v>0</v>
      </c>
      <c r="L25" s="144">
        <f>+Zal_1_WPF_uklad_budzetu_ryzyko!I40+Zal_1_WPF_uklad_budzetu_ryzyko!I18</f>
        <v>0</v>
      </c>
      <c r="M25" s="144">
        <f>+Zal_1_WPF_uklad_budzetu_ryzyko!J40+Zal_1_WPF_uklad_budzetu_ryzyko!J18</f>
        <v>0</v>
      </c>
      <c r="N25" s="144">
        <f>+Zal_1_WPF_uklad_budzetu_ryzyko!K40+Zal_1_WPF_uklad_budzetu_ryzyko!K18</f>
        <v>0</v>
      </c>
      <c r="O25" s="144" t="e">
        <f>+Zal_1_WPF_uklad_budzetu_ryzyko!#REF!+Zal_1_WPF_uklad_budzetu_ryzyko!#REF!</f>
        <v>#REF!</v>
      </c>
      <c r="P25" s="144" t="e">
        <f>+Zal_1_WPF_uklad_budzetu_ryzyko!#REF!+Zal_1_WPF_uklad_budzetu_ryzyko!#REF!</f>
        <v>#REF!</v>
      </c>
      <c r="Q25" s="144" t="e">
        <f>+Zal_1_WPF_uklad_budzetu_ryzyko!#REF!+Zal_1_WPF_uklad_budzetu_ryzyko!#REF!</f>
        <v>#REF!</v>
      </c>
      <c r="R25" s="144" t="e">
        <f>+Zal_1_WPF_uklad_budzetu_ryzyko!#REF!+Zal_1_WPF_uklad_budzetu_ryzyko!#REF!</f>
        <v>#REF!</v>
      </c>
      <c r="S25" s="144" t="e">
        <f>+Zal_1_WPF_uklad_budzetu_ryzyko!#REF!+Zal_1_WPF_uklad_budzetu_ryzyko!#REF!</f>
        <v>#REF!</v>
      </c>
      <c r="T25" s="144" t="e">
        <f>+Zal_1_WPF_uklad_budzetu_ryzyko!#REF!+Zal_1_WPF_uklad_budzetu_ryzyko!#REF!</f>
        <v>#REF!</v>
      </c>
      <c r="U25" s="144" t="e">
        <f>+Zal_1_WPF_uklad_budzetu_ryzyko!#REF!+Zal_1_WPF_uklad_budzetu_ryzyko!#REF!</f>
        <v>#REF!</v>
      </c>
      <c r="V25" s="144" t="e">
        <f>+Zal_1_WPF_uklad_budzetu_ryzyko!#REF!+Zal_1_WPF_uklad_budzetu_ryzyko!#REF!</f>
        <v>#REF!</v>
      </c>
      <c r="W25" s="144" t="e">
        <f>+Zal_1_WPF_uklad_budzetu_ryzyko!#REF!+Zal_1_WPF_uklad_budzetu_ryzyko!#REF!</f>
        <v>#REF!</v>
      </c>
      <c r="X25" s="144" t="e">
        <f>+Zal_1_WPF_uklad_budzetu_ryzyko!#REF!+Zal_1_WPF_uklad_budzetu_ryzyko!#REF!</f>
        <v>#REF!</v>
      </c>
      <c r="Y25" s="144" t="e">
        <f>+Zal_1_WPF_uklad_budzetu_ryzyko!#REF!+Zal_1_WPF_uklad_budzetu_ryzyko!#REF!</f>
        <v>#REF!</v>
      </c>
      <c r="Z25" s="144" t="e">
        <f>+Zal_1_WPF_uklad_budzetu_ryzyko!#REF!+Zal_1_WPF_uklad_budzetu_ryzyko!#REF!</f>
        <v>#REF!</v>
      </c>
      <c r="AA25" s="144" t="e">
        <f>+Zal_1_WPF_uklad_budzetu_ryzyko!#REF!+Zal_1_WPF_uklad_budzetu_ryzyko!#REF!</f>
        <v>#REF!</v>
      </c>
      <c r="AB25" s="144" t="e">
        <f>+Zal_1_WPF_uklad_budzetu_ryzyko!#REF!+Zal_1_WPF_uklad_budzetu_ryzyko!#REF!</f>
        <v>#REF!</v>
      </c>
      <c r="AC25" s="144" t="e">
        <f>+Zal_1_WPF_uklad_budzetu_ryzyko!#REF!+Zal_1_WPF_uklad_budzetu_ryzyko!#REF!</f>
        <v>#REF!</v>
      </c>
      <c r="AD25" s="144" t="e">
        <f>+Zal_1_WPF_uklad_budzetu_ryzyko!#REF!+Zal_1_WPF_uklad_budzetu_ryzyko!#REF!</f>
        <v>#REF!</v>
      </c>
      <c r="AE25" s="144" t="e">
        <f>+Zal_1_WPF_uklad_budzetu_ryzyko!#REF!+Zal_1_WPF_uklad_budzetu_ryzyko!#REF!</f>
        <v>#REF!</v>
      </c>
      <c r="AF25" s="144" t="e">
        <f>+Zal_1_WPF_uklad_budzetu_ryzyko!#REF!+Zal_1_WPF_uklad_budzetu_ryzyko!#REF!</f>
        <v>#REF!</v>
      </c>
      <c r="AG25" s="144" t="e">
        <f>+Zal_1_WPF_uklad_budzetu_ryzyko!#REF!+Zal_1_WPF_uklad_budzetu_ryzyko!#REF!</f>
        <v>#REF!</v>
      </c>
      <c r="AH25" s="144" t="e">
        <f>+Zal_1_WPF_uklad_budzetu_ryzyko!#REF!+Zal_1_WPF_uklad_budzetu_ryzyko!#REF!</f>
        <v>#REF!</v>
      </c>
      <c r="AI25" s="144" t="e">
        <f>+Zal_1_WPF_uklad_budzetu_ryzyko!#REF!+Zal_1_WPF_uklad_budzetu_ryzyko!#REF!</f>
        <v>#REF!</v>
      </c>
      <c r="AJ25" s="144" t="e">
        <f>+Zal_1_WPF_uklad_budzetu_ryzyko!#REF!+Zal_1_WPF_uklad_budzetu_ryzyko!#REF!</f>
        <v>#REF!</v>
      </c>
    </row>
    <row r="26" spans="1:36" ht="14.25">
      <c r="A26" s="151" t="s">
        <v>179</v>
      </c>
      <c r="B26" s="291"/>
      <c r="C26" s="292"/>
      <c r="D26" s="292"/>
      <c r="E26" s="293"/>
      <c r="F26" s="148">
        <f>+F21-F25</f>
        <v>900000</v>
      </c>
      <c r="G26" s="148">
        <f aca="true" t="shared" si="8" ref="G26:AJ26">+G21-G25</f>
        <v>1100000</v>
      </c>
      <c r="H26" s="148">
        <f t="shared" si="8"/>
        <v>1165000</v>
      </c>
      <c r="I26" s="148">
        <f t="shared" si="8"/>
        <v>1100000</v>
      </c>
      <c r="J26" s="148">
        <f t="shared" si="8"/>
        <v>1120000</v>
      </c>
      <c r="K26" s="148">
        <f t="shared" si="8"/>
        <v>1225000</v>
      </c>
      <c r="L26" s="148">
        <f t="shared" si="8"/>
        <v>800000</v>
      </c>
      <c r="M26" s="148">
        <f t="shared" si="8"/>
        <v>740000</v>
      </c>
      <c r="N26" s="148">
        <f t="shared" si="8"/>
        <v>540000</v>
      </c>
      <c r="O26" s="148" t="e">
        <f t="shared" si="8"/>
        <v>#REF!</v>
      </c>
      <c r="P26" s="148" t="e">
        <f t="shared" si="8"/>
        <v>#REF!</v>
      </c>
      <c r="Q26" s="148" t="e">
        <f t="shared" si="8"/>
        <v>#REF!</v>
      </c>
      <c r="R26" s="148" t="e">
        <f t="shared" si="8"/>
        <v>#REF!</v>
      </c>
      <c r="S26" s="148" t="e">
        <f t="shared" si="8"/>
        <v>#REF!</v>
      </c>
      <c r="T26" s="148" t="e">
        <f t="shared" si="8"/>
        <v>#REF!</v>
      </c>
      <c r="U26" s="148" t="e">
        <f t="shared" si="8"/>
        <v>#REF!</v>
      </c>
      <c r="V26" s="148" t="e">
        <f t="shared" si="8"/>
        <v>#REF!</v>
      </c>
      <c r="W26" s="148" t="e">
        <f t="shared" si="8"/>
        <v>#REF!</v>
      </c>
      <c r="X26" s="148" t="e">
        <f t="shared" si="8"/>
        <v>#REF!</v>
      </c>
      <c r="Y26" s="148" t="e">
        <f t="shared" si="8"/>
        <v>#REF!</v>
      </c>
      <c r="Z26" s="148" t="e">
        <f t="shared" si="8"/>
        <v>#REF!</v>
      </c>
      <c r="AA26" s="148" t="e">
        <f t="shared" si="8"/>
        <v>#REF!</v>
      </c>
      <c r="AB26" s="148" t="e">
        <f t="shared" si="8"/>
        <v>#REF!</v>
      </c>
      <c r="AC26" s="148" t="e">
        <f t="shared" si="8"/>
        <v>#REF!</v>
      </c>
      <c r="AD26" s="148" t="e">
        <f t="shared" si="8"/>
        <v>#REF!</v>
      </c>
      <c r="AE26" s="148" t="e">
        <f t="shared" si="8"/>
        <v>#REF!</v>
      </c>
      <c r="AF26" s="148" t="e">
        <f t="shared" si="8"/>
        <v>#REF!</v>
      </c>
      <c r="AG26" s="148" t="e">
        <f t="shared" si="8"/>
        <v>#REF!</v>
      </c>
      <c r="AH26" s="148" t="e">
        <f t="shared" si="8"/>
        <v>#REF!</v>
      </c>
      <c r="AI26" s="148" t="e">
        <f t="shared" si="8"/>
        <v>#REF!</v>
      </c>
      <c r="AJ26" s="148" t="e">
        <f t="shared" si="8"/>
        <v>#REF!</v>
      </c>
    </row>
    <row r="27" spans="1:36" ht="24">
      <c r="A27" s="151" t="s">
        <v>188</v>
      </c>
      <c r="B27" s="291"/>
      <c r="C27" s="292"/>
      <c r="D27" s="292"/>
      <c r="E27" s="293"/>
      <c r="F27" s="149">
        <f>+IF(F22&lt;&gt;0,F26/F22,0)</f>
        <v>0.038681818191586316</v>
      </c>
      <c r="G27" s="149">
        <f aca="true" t="shared" si="9" ref="G27:AJ27">+IF(G22&lt;&gt;0,G26/G22,0)</f>
        <v>0.04640251822247983</v>
      </c>
      <c r="H27" s="149">
        <f t="shared" si="9"/>
        <v>0.04947551705100437</v>
      </c>
      <c r="I27" s="149">
        <f t="shared" si="9"/>
        <v>0.04579898409526189</v>
      </c>
      <c r="J27" s="149">
        <f t="shared" si="9"/>
        <v>0.045714285714285714</v>
      </c>
      <c r="K27" s="149">
        <f t="shared" si="9"/>
        <v>0.04939516129032258</v>
      </c>
      <c r="L27" s="149">
        <f t="shared" si="9"/>
        <v>0.03187250996015936</v>
      </c>
      <c r="M27" s="149">
        <f t="shared" si="9"/>
        <v>0.02917981072555205</v>
      </c>
      <c r="N27" s="149">
        <f t="shared" si="9"/>
        <v>0.021293375394321766</v>
      </c>
      <c r="O27" s="149" t="e">
        <f t="shared" si="9"/>
        <v>#REF!</v>
      </c>
      <c r="P27" s="149" t="e">
        <f t="shared" si="9"/>
        <v>#REF!</v>
      </c>
      <c r="Q27" s="149" t="e">
        <f t="shared" si="9"/>
        <v>#REF!</v>
      </c>
      <c r="R27" s="149" t="e">
        <f t="shared" si="9"/>
        <v>#REF!</v>
      </c>
      <c r="S27" s="149" t="e">
        <f t="shared" si="9"/>
        <v>#REF!</v>
      </c>
      <c r="T27" s="149" t="e">
        <f t="shared" si="9"/>
        <v>#REF!</v>
      </c>
      <c r="U27" s="149" t="e">
        <f t="shared" si="9"/>
        <v>#REF!</v>
      </c>
      <c r="V27" s="149" t="e">
        <f t="shared" si="9"/>
        <v>#REF!</v>
      </c>
      <c r="W27" s="149" t="e">
        <f t="shared" si="9"/>
        <v>#REF!</v>
      </c>
      <c r="X27" s="149" t="e">
        <f t="shared" si="9"/>
        <v>#REF!</v>
      </c>
      <c r="Y27" s="149" t="e">
        <f t="shared" si="9"/>
        <v>#REF!</v>
      </c>
      <c r="Z27" s="149" t="e">
        <f t="shared" si="9"/>
        <v>#REF!</v>
      </c>
      <c r="AA27" s="149" t="e">
        <f t="shared" si="9"/>
        <v>#REF!</v>
      </c>
      <c r="AB27" s="149" t="e">
        <f t="shared" si="9"/>
        <v>#REF!</v>
      </c>
      <c r="AC27" s="149" t="e">
        <f t="shared" si="9"/>
        <v>#REF!</v>
      </c>
      <c r="AD27" s="149" t="e">
        <f t="shared" si="9"/>
        <v>#REF!</v>
      </c>
      <c r="AE27" s="149" t="e">
        <f t="shared" si="9"/>
        <v>#REF!</v>
      </c>
      <c r="AF27" s="149" t="e">
        <f t="shared" si="9"/>
        <v>#REF!</v>
      </c>
      <c r="AG27" s="149" t="e">
        <f t="shared" si="9"/>
        <v>#REF!</v>
      </c>
      <c r="AH27" s="149" t="e">
        <f t="shared" si="9"/>
        <v>#REF!</v>
      </c>
      <c r="AI27" s="149" t="e">
        <f t="shared" si="9"/>
        <v>#REF!</v>
      </c>
      <c r="AJ27" s="149" t="e">
        <f t="shared" si="9"/>
        <v>#REF!</v>
      </c>
    </row>
    <row r="28" spans="1:36" ht="32.25" customHeight="1">
      <c r="A28" s="166" t="s">
        <v>180</v>
      </c>
      <c r="B28" s="294"/>
      <c r="C28" s="295"/>
      <c r="D28" s="295"/>
      <c r="E28" s="296"/>
      <c r="F28" s="142" t="str">
        <f aca="true" t="shared" si="10" ref="F28:AJ28">+IF(F27&lt;=F13,"ZGODNE","NIE ZGODNE")</f>
        <v>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e">
        <f t="shared" si="10"/>
        <v>#REF!</v>
      </c>
      <c r="P28" s="142" t="e">
        <f t="shared" si="10"/>
        <v>#REF!</v>
      </c>
      <c r="Q28" s="142" t="e">
        <f t="shared" si="10"/>
        <v>#REF!</v>
      </c>
      <c r="R28" s="142" t="e">
        <f t="shared" si="10"/>
        <v>#REF!</v>
      </c>
      <c r="S28" s="142" t="e">
        <f t="shared" si="10"/>
        <v>#REF!</v>
      </c>
      <c r="T28" s="142" t="e">
        <f t="shared" si="10"/>
        <v>#REF!</v>
      </c>
      <c r="U28" s="142" t="e">
        <f t="shared" si="10"/>
        <v>#REF!</v>
      </c>
      <c r="V28" s="142" t="e">
        <f t="shared" si="10"/>
        <v>#REF!</v>
      </c>
      <c r="W28" s="142" t="e">
        <f t="shared" si="10"/>
        <v>#REF!</v>
      </c>
      <c r="X28" s="142" t="e">
        <f t="shared" si="10"/>
        <v>#REF!</v>
      </c>
      <c r="Y28" s="142" t="e">
        <f t="shared" si="10"/>
        <v>#REF!</v>
      </c>
      <c r="Z28" s="142" t="e">
        <f t="shared" si="10"/>
        <v>#REF!</v>
      </c>
      <c r="AA28" s="142" t="e">
        <f t="shared" si="10"/>
        <v>#REF!</v>
      </c>
      <c r="AB28" s="142" t="e">
        <f t="shared" si="10"/>
        <v>#REF!</v>
      </c>
      <c r="AC28" s="142" t="e">
        <f t="shared" si="10"/>
        <v>#REF!</v>
      </c>
      <c r="AD28" s="142" t="e">
        <f t="shared" si="10"/>
        <v>#REF!</v>
      </c>
      <c r="AE28" s="142" t="e">
        <f t="shared" si="10"/>
        <v>#REF!</v>
      </c>
      <c r="AF28" s="142" t="e">
        <f t="shared" si="10"/>
        <v>#REF!</v>
      </c>
      <c r="AG28" s="142" t="e">
        <f t="shared" si="10"/>
        <v>#REF!</v>
      </c>
      <c r="AH28" s="142" t="e">
        <f t="shared" si="10"/>
        <v>#REF!</v>
      </c>
      <c r="AI28" s="142" t="e">
        <f t="shared" si="10"/>
        <v>#REF!</v>
      </c>
      <c r="AJ28" s="142" t="e">
        <f t="shared" si="10"/>
        <v>#REF!</v>
      </c>
    </row>
    <row r="29" spans="1:36" s="199" customFormat="1" ht="14.25">
      <c r="A29" s="196"/>
      <c r="B29" s="197"/>
      <c r="C29" s="197"/>
      <c r="D29" s="197"/>
      <c r="E29" s="19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</row>
    <row r="30" spans="1:5" ht="14.25">
      <c r="A30" s="299" t="s">
        <v>213</v>
      </c>
      <c r="B30" s="299"/>
      <c r="C30" s="299"/>
      <c r="D30" s="299"/>
      <c r="E30" s="299"/>
    </row>
    <row r="31" spans="1:36" s="184" customFormat="1" ht="31.5" customHeight="1">
      <c r="A31" s="165" t="s">
        <v>178</v>
      </c>
      <c r="F31" s="142" t="str">
        <f>+IF(F23&lt;=F15,"ZGODNE","NIE ZGODNE")</f>
        <v>ZGODNE</v>
      </c>
      <c r="G31" s="142" t="str">
        <f>+IF(G23&lt;=G15,"ZGODNE","NIE ZGODNE")</f>
        <v>ZGODNE</v>
      </c>
      <c r="H31" s="142" t="str">
        <f>+IF(H23&lt;=H15,"ZGODNE","NIE ZGODNE")</f>
        <v>NIE 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e">
        <f t="shared" si="11"/>
        <v>#REF!</v>
      </c>
      <c r="P31" s="142" t="e">
        <f t="shared" si="11"/>
        <v>#REF!</v>
      </c>
      <c r="Q31" s="142" t="e">
        <f t="shared" si="11"/>
        <v>#REF!</v>
      </c>
      <c r="R31" s="142" t="e">
        <f t="shared" si="11"/>
        <v>#REF!</v>
      </c>
      <c r="S31" s="142" t="e">
        <f t="shared" si="11"/>
        <v>#REF!</v>
      </c>
      <c r="T31" s="142" t="e">
        <f t="shared" si="11"/>
        <v>#REF!</v>
      </c>
      <c r="U31" s="142" t="e">
        <f t="shared" si="11"/>
        <v>#REF!</v>
      </c>
      <c r="V31" s="142" t="e">
        <f t="shared" si="11"/>
        <v>#REF!</v>
      </c>
      <c r="W31" s="142" t="e">
        <f t="shared" si="11"/>
        <v>#REF!</v>
      </c>
      <c r="X31" s="142" t="e">
        <f t="shared" si="11"/>
        <v>#REF!</v>
      </c>
      <c r="Y31" s="142" t="e">
        <f t="shared" si="11"/>
        <v>#REF!</v>
      </c>
      <c r="Z31" s="142" t="e">
        <f t="shared" si="11"/>
        <v>#REF!</v>
      </c>
      <c r="AA31" s="142" t="e">
        <f t="shared" si="11"/>
        <v>#REF!</v>
      </c>
      <c r="AB31" s="142" t="e">
        <f t="shared" si="11"/>
        <v>#REF!</v>
      </c>
      <c r="AC31" s="142" t="e">
        <f t="shared" si="11"/>
        <v>#REF!</v>
      </c>
      <c r="AD31" s="142" t="e">
        <f t="shared" si="11"/>
        <v>#REF!</v>
      </c>
      <c r="AE31" s="142" t="e">
        <f t="shared" si="11"/>
        <v>#REF!</v>
      </c>
      <c r="AF31" s="142" t="e">
        <f t="shared" si="11"/>
        <v>#REF!</v>
      </c>
      <c r="AG31" s="142" t="e">
        <f t="shared" si="11"/>
        <v>#REF!</v>
      </c>
      <c r="AH31" s="142" t="e">
        <f t="shared" si="11"/>
        <v>#REF!</v>
      </c>
      <c r="AI31" s="142" t="e">
        <f t="shared" si="11"/>
        <v>#REF!</v>
      </c>
      <c r="AJ31" s="142" t="e">
        <f t="shared" si="11"/>
        <v>#REF!</v>
      </c>
    </row>
    <row r="32" spans="1:36" s="184" customFormat="1" ht="32.25" customHeight="1">
      <c r="A32" s="166" t="s">
        <v>180</v>
      </c>
      <c r="F32" s="142" t="str">
        <f>+IF(F27&lt;=F15,"ZGODNE","NIE ZGODNE")</f>
        <v>ZGODNE</v>
      </c>
      <c r="G32" s="142" t="str">
        <f>+IF(G27&lt;=G15,"ZGODNE","NIE ZGODNE")</f>
        <v>ZGODNE</v>
      </c>
      <c r="H32" s="142" t="str">
        <f>+IF(H27&lt;=H15,"ZGODNE","NIE ZGODNE")</f>
        <v>NIE 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e">
        <f t="shared" si="12"/>
        <v>#REF!</v>
      </c>
      <c r="P32" s="142" t="e">
        <f t="shared" si="12"/>
        <v>#REF!</v>
      </c>
      <c r="Q32" s="142" t="e">
        <f t="shared" si="12"/>
        <v>#REF!</v>
      </c>
      <c r="R32" s="142" t="e">
        <f t="shared" si="12"/>
        <v>#REF!</v>
      </c>
      <c r="S32" s="142" t="e">
        <f t="shared" si="12"/>
        <v>#REF!</v>
      </c>
      <c r="T32" s="142" t="e">
        <f t="shared" si="12"/>
        <v>#REF!</v>
      </c>
      <c r="U32" s="142" t="e">
        <f t="shared" si="12"/>
        <v>#REF!</v>
      </c>
      <c r="V32" s="142" t="e">
        <f t="shared" si="12"/>
        <v>#REF!</v>
      </c>
      <c r="W32" s="142" t="e">
        <f t="shared" si="12"/>
        <v>#REF!</v>
      </c>
      <c r="X32" s="142" t="e">
        <f t="shared" si="12"/>
        <v>#REF!</v>
      </c>
      <c r="Y32" s="142" t="e">
        <f t="shared" si="12"/>
        <v>#REF!</v>
      </c>
      <c r="Z32" s="142" t="e">
        <f t="shared" si="12"/>
        <v>#REF!</v>
      </c>
      <c r="AA32" s="142" t="e">
        <f t="shared" si="12"/>
        <v>#REF!</v>
      </c>
      <c r="AB32" s="142" t="e">
        <f t="shared" si="12"/>
        <v>#REF!</v>
      </c>
      <c r="AC32" s="142" t="e">
        <f t="shared" si="12"/>
        <v>#REF!</v>
      </c>
      <c r="AD32" s="142" t="e">
        <f t="shared" si="12"/>
        <v>#REF!</v>
      </c>
      <c r="AE32" s="142" t="e">
        <f t="shared" si="12"/>
        <v>#REF!</v>
      </c>
      <c r="AF32" s="142" t="e">
        <f t="shared" si="12"/>
        <v>#REF!</v>
      </c>
      <c r="AG32" s="142" t="e">
        <f t="shared" si="12"/>
        <v>#REF!</v>
      </c>
      <c r="AH32" s="142" t="e">
        <f t="shared" si="12"/>
        <v>#REF!</v>
      </c>
      <c r="AI32" s="142" t="e">
        <f t="shared" si="12"/>
        <v>#REF!</v>
      </c>
      <c r="AJ32" s="142" t="e">
        <f t="shared" si="12"/>
        <v>#REF!</v>
      </c>
    </row>
    <row r="33" s="184" customFormat="1" ht="14.25"/>
    <row r="34" ht="14.25">
      <c r="A34" s="179" t="s">
        <v>197</v>
      </c>
    </row>
    <row r="35" spans="1:36" ht="14.25">
      <c r="A35" s="165" t="s">
        <v>195</v>
      </c>
      <c r="F35" s="178">
        <f>+F$13-F23</f>
        <v>0.06984277078760084</v>
      </c>
      <c r="G35" s="178">
        <f aca="true" t="shared" si="13" ref="G35:AJ35">+G$13-G23</f>
        <v>0.026918984476327068</v>
      </c>
      <c r="H35" s="178">
        <f t="shared" si="13"/>
        <v>0.0019897067626036477</v>
      </c>
      <c r="I35" s="178">
        <f t="shared" si="13"/>
        <v>0.0020208203499992167</v>
      </c>
      <c r="J35" s="178">
        <f t="shared" si="13"/>
        <v>0.0017919421965054833</v>
      </c>
      <c r="K35" s="178">
        <f t="shared" si="13"/>
        <v>0.0004904792814981601</v>
      </c>
      <c r="L35" s="178">
        <f t="shared" si="13"/>
        <v>0.021258641420288917</v>
      </c>
      <c r="M35" s="178">
        <f t="shared" si="13"/>
        <v>0.02913653984757785</v>
      </c>
      <c r="N35" s="178">
        <f t="shared" si="13"/>
        <v>0.03926873152551086</v>
      </c>
      <c r="O35" s="178" t="e">
        <f t="shared" si="13"/>
        <v>#REF!</v>
      </c>
      <c r="P35" s="178" t="e">
        <f t="shared" si="13"/>
        <v>#REF!</v>
      </c>
      <c r="Q35" s="178" t="e">
        <f t="shared" si="13"/>
        <v>#REF!</v>
      </c>
      <c r="R35" s="178" t="e">
        <f t="shared" si="13"/>
        <v>#REF!</v>
      </c>
      <c r="S35" s="178" t="e">
        <f t="shared" si="13"/>
        <v>#REF!</v>
      </c>
      <c r="T35" s="178" t="e">
        <f t="shared" si="13"/>
        <v>#REF!</v>
      </c>
      <c r="U35" s="178" t="e">
        <f t="shared" si="13"/>
        <v>#REF!</v>
      </c>
      <c r="V35" s="178" t="e">
        <f t="shared" si="13"/>
        <v>#REF!</v>
      </c>
      <c r="W35" s="178" t="e">
        <f t="shared" si="13"/>
        <v>#REF!</v>
      </c>
      <c r="X35" s="178" t="e">
        <f t="shared" si="13"/>
        <v>#REF!</v>
      </c>
      <c r="Y35" s="178" t="e">
        <f t="shared" si="13"/>
        <v>#REF!</v>
      </c>
      <c r="Z35" s="178" t="e">
        <f t="shared" si="13"/>
        <v>#REF!</v>
      </c>
      <c r="AA35" s="178" t="e">
        <f t="shared" si="13"/>
        <v>#REF!</v>
      </c>
      <c r="AB35" s="178" t="e">
        <f t="shared" si="13"/>
        <v>#REF!</v>
      </c>
      <c r="AC35" s="178" t="e">
        <f t="shared" si="13"/>
        <v>#REF!</v>
      </c>
      <c r="AD35" s="178" t="e">
        <f t="shared" si="13"/>
        <v>#REF!</v>
      </c>
      <c r="AE35" s="178" t="e">
        <f t="shared" si="13"/>
        <v>#REF!</v>
      </c>
      <c r="AF35" s="178" t="e">
        <f t="shared" si="13"/>
        <v>#REF!</v>
      </c>
      <c r="AG35" s="178" t="e">
        <f t="shared" si="13"/>
        <v>#REF!</v>
      </c>
      <c r="AH35" s="178" t="e">
        <f t="shared" si="13"/>
        <v>#REF!</v>
      </c>
      <c r="AI35" s="178" t="e">
        <f t="shared" si="13"/>
        <v>#REF!</v>
      </c>
      <c r="AJ35" s="178" t="e">
        <f t="shared" si="13"/>
        <v>#REF!</v>
      </c>
    </row>
    <row r="36" spans="1:36" ht="14.25">
      <c r="A36" s="166" t="s">
        <v>196</v>
      </c>
      <c r="F36" s="178">
        <f>+F$13-F27</f>
        <v>0.06984277078760084</v>
      </c>
      <c r="G36" s="178">
        <f aca="true" t="shared" si="14" ref="G36:AJ36">+G$13-G27</f>
        <v>0.026918984476327068</v>
      </c>
      <c r="H36" s="178">
        <f t="shared" si="14"/>
        <v>0.0019897067626036477</v>
      </c>
      <c r="I36" s="178">
        <f t="shared" si="14"/>
        <v>0.0020208203499992167</v>
      </c>
      <c r="J36" s="178">
        <f t="shared" si="14"/>
        <v>0.0017919421965054833</v>
      </c>
      <c r="K36" s="178">
        <f t="shared" si="14"/>
        <v>0.0004904792814981601</v>
      </c>
      <c r="L36" s="178">
        <f t="shared" si="14"/>
        <v>0.021258641420288917</v>
      </c>
      <c r="M36" s="178">
        <f t="shared" si="14"/>
        <v>0.02913653984757785</v>
      </c>
      <c r="N36" s="178">
        <f t="shared" si="14"/>
        <v>0.03926873152551086</v>
      </c>
      <c r="O36" s="178" t="e">
        <f t="shared" si="14"/>
        <v>#REF!</v>
      </c>
      <c r="P36" s="178" t="e">
        <f t="shared" si="14"/>
        <v>#REF!</v>
      </c>
      <c r="Q36" s="178" t="e">
        <f t="shared" si="14"/>
        <v>#REF!</v>
      </c>
      <c r="R36" s="178" t="e">
        <f t="shared" si="14"/>
        <v>#REF!</v>
      </c>
      <c r="S36" s="178" t="e">
        <f t="shared" si="14"/>
        <v>#REF!</v>
      </c>
      <c r="T36" s="178" t="e">
        <f t="shared" si="14"/>
        <v>#REF!</v>
      </c>
      <c r="U36" s="178" t="e">
        <f t="shared" si="14"/>
        <v>#REF!</v>
      </c>
      <c r="V36" s="178" t="e">
        <f t="shared" si="14"/>
        <v>#REF!</v>
      </c>
      <c r="W36" s="178" t="e">
        <f t="shared" si="14"/>
        <v>#REF!</v>
      </c>
      <c r="X36" s="178" t="e">
        <f t="shared" si="14"/>
        <v>#REF!</v>
      </c>
      <c r="Y36" s="178" t="e">
        <f t="shared" si="14"/>
        <v>#REF!</v>
      </c>
      <c r="Z36" s="178" t="e">
        <f t="shared" si="14"/>
        <v>#REF!</v>
      </c>
      <c r="AA36" s="178" t="e">
        <f t="shared" si="14"/>
        <v>#REF!</v>
      </c>
      <c r="AB36" s="178" t="e">
        <f t="shared" si="14"/>
        <v>#REF!</v>
      </c>
      <c r="AC36" s="178" t="e">
        <f t="shared" si="14"/>
        <v>#REF!</v>
      </c>
      <c r="AD36" s="178" t="e">
        <f t="shared" si="14"/>
        <v>#REF!</v>
      </c>
      <c r="AE36" s="178" t="e">
        <f t="shared" si="14"/>
        <v>#REF!</v>
      </c>
      <c r="AF36" s="178" t="e">
        <f t="shared" si="14"/>
        <v>#REF!</v>
      </c>
      <c r="AG36" s="178" t="e">
        <f t="shared" si="14"/>
        <v>#REF!</v>
      </c>
      <c r="AH36" s="178" t="e">
        <f t="shared" si="14"/>
        <v>#REF!</v>
      </c>
      <c r="AI36" s="178" t="e">
        <f t="shared" si="14"/>
        <v>#REF!</v>
      </c>
      <c r="AJ36" s="178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207</v>
      </c>
      <c r="I1" s="16">
        <f>+Zal_1_WPF_uklad_budzetu_ryzyko!D1</f>
        <v>0</v>
      </c>
    </row>
    <row r="99" spans="2:9" ht="15">
      <c r="B99" s="16" t="s">
        <v>234</v>
      </c>
      <c r="I99" s="16" t="s">
        <v>234</v>
      </c>
    </row>
    <row r="116" spans="2:9" ht="15">
      <c r="B116" s="16" t="s">
        <v>235</v>
      </c>
      <c r="I116" s="16" t="s">
        <v>235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HY218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2" sqref="B2:I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" width="9.69921875" style="1" customWidth="1"/>
    <col min="4" max="4" width="9.59765625" style="1" customWidth="1"/>
    <col min="5" max="5" width="10.19921875" style="1" customWidth="1"/>
    <col min="6" max="6" width="10.5" style="1" customWidth="1"/>
    <col min="7" max="9" width="10.09765625" style="1" customWidth="1"/>
    <col min="10" max="11" width="10.19921875" style="1" customWidth="1"/>
  </cols>
  <sheetData>
    <row r="1" spans="2:233" s="2" customFormat="1" ht="14.25" hidden="1">
      <c r="B1" s="14"/>
      <c r="C1" s="5"/>
      <c r="D1" s="11"/>
      <c r="F1" s="1"/>
      <c r="G1" s="24"/>
      <c r="H1" s="24"/>
      <c r="I1" s="24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233" s="2" customFormat="1" ht="14.25">
      <c r="B2" s="300" t="s">
        <v>412</v>
      </c>
      <c r="C2" s="301"/>
      <c r="D2" s="301"/>
      <c r="E2" s="301"/>
      <c r="F2" s="301"/>
      <c r="G2" s="301"/>
      <c r="H2" s="301"/>
      <c r="I2" s="301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2" customFormat="1" ht="2.25" customHeight="1">
      <c r="B3" s="301"/>
      <c r="C3" s="301"/>
      <c r="D3" s="301"/>
      <c r="E3" s="301"/>
      <c r="F3" s="301"/>
      <c r="G3" s="301"/>
      <c r="H3" s="301"/>
      <c r="I3" s="30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1:233" s="2" customFormat="1" ht="15" hidden="1">
      <c r="A4" s="1"/>
      <c r="B4" s="132">
        <f>""</f>
      </c>
      <c r="C4" s="1"/>
      <c r="D4" s="1"/>
      <c r="E4" s="1"/>
      <c r="F4" s="1"/>
      <c r="G4" s="1"/>
      <c r="H4" s="1"/>
      <c r="I4" s="1"/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s="17" customFormat="1" ht="14.25">
      <c r="A5" s="36" t="s">
        <v>0</v>
      </c>
      <c r="B5" s="37" t="s">
        <v>1</v>
      </c>
      <c r="C5" s="38">
        <v>2013</v>
      </c>
      <c r="D5" s="38">
        <v>2014</v>
      </c>
      <c r="E5" s="38">
        <v>2015</v>
      </c>
      <c r="F5" s="38">
        <v>2016</v>
      </c>
      <c r="G5" s="38">
        <v>2017</v>
      </c>
      <c r="H5" s="38">
        <v>2018</v>
      </c>
      <c r="I5" s="38">
        <v>2019</v>
      </c>
      <c r="J5" s="38">
        <v>2020</v>
      </c>
      <c r="K5" s="38">
        <v>2021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11" ht="14.25">
      <c r="A6" s="43" t="s">
        <v>44</v>
      </c>
      <c r="B6" s="44" t="s">
        <v>56</v>
      </c>
      <c r="C6" s="45">
        <f>+Zal_1_WPF_wg_przeplywow!C7</f>
        <v>23266745</v>
      </c>
      <c r="D6" s="45">
        <f>+Zal_1_WPF_wg_przeplywow!D7</f>
        <v>23705610</v>
      </c>
      <c r="E6" s="45">
        <f>+Zal_1_WPF_wg_przeplywow!E7</f>
        <v>23547000</v>
      </c>
      <c r="F6" s="45">
        <f>+Zal_1_WPF_wg_przeplywow!F7</f>
        <v>24018000</v>
      </c>
      <c r="G6" s="45">
        <f>+Zal_1_WPF_wg_przeplywow!G7</f>
        <v>24500000</v>
      </c>
      <c r="H6" s="45">
        <f>+Zal_1_WPF_wg_przeplywow!H7</f>
        <v>24800000</v>
      </c>
      <c r="I6" s="45">
        <f>+Zal_1_WPF_wg_przeplywow!I7</f>
        <v>25100000</v>
      </c>
      <c r="J6" s="45">
        <f>+Zal_1_WPF_wg_przeplywow!J7</f>
        <v>25360000</v>
      </c>
      <c r="K6" s="45">
        <f>+Zal_1_WPF_wg_przeplywow!K7</f>
        <v>25360000</v>
      </c>
    </row>
    <row r="7" spans="1:11" ht="14.25" outlineLevel="1">
      <c r="A7" s="46"/>
      <c r="B7" s="47" t="s">
        <v>57</v>
      </c>
      <c r="C7" s="48">
        <f>+Zal_1_WPF_wg_przeplywow!C8</f>
        <v>22273007</v>
      </c>
      <c r="D7" s="48">
        <f>+Zal_1_WPF_wg_przeplywow!D8</f>
        <v>23071000</v>
      </c>
      <c r="E7" s="48">
        <f>+Zal_1_WPF_wg_przeplywow!E8</f>
        <v>23547000</v>
      </c>
      <c r="F7" s="48">
        <f>+Zal_1_WPF_wg_przeplywow!F8</f>
        <v>24018000</v>
      </c>
      <c r="G7" s="48">
        <f>+Zal_1_WPF_wg_przeplywow!G8</f>
        <v>24500000</v>
      </c>
      <c r="H7" s="48">
        <f>+Zal_1_WPF_wg_przeplywow!H8</f>
        <v>24800000</v>
      </c>
      <c r="I7" s="48">
        <f>+Zal_1_WPF_wg_przeplywow!I8</f>
        <v>25100000</v>
      </c>
      <c r="J7" s="48">
        <f>+Zal_1_WPF_wg_przeplywow!J8</f>
        <v>25360000</v>
      </c>
      <c r="K7" s="48">
        <f>+Zal_1_WPF_wg_przeplywow!K8</f>
        <v>25360000</v>
      </c>
    </row>
    <row r="8" spans="1:233" s="184" customFormat="1" ht="24" outlineLevel="1">
      <c r="A8" s="46"/>
      <c r="B8" s="86" t="s">
        <v>356</v>
      </c>
      <c r="C8" s="48">
        <f>+Zal_1_WPF_wg_przeplywow!C9</f>
        <v>164966</v>
      </c>
      <c r="D8" s="48">
        <f>+Zal_1_WPF_wg_przeplywow!D9</f>
        <v>0</v>
      </c>
      <c r="E8" s="48">
        <f>+Zal_1_WPF_wg_przeplywow!E9</f>
        <v>0</v>
      </c>
      <c r="F8" s="48">
        <f>+Zal_1_WPF_wg_przeplywow!F9</f>
        <v>0</v>
      </c>
      <c r="G8" s="48">
        <f>+Zal_1_WPF_wg_przeplywow!G9</f>
        <v>0</v>
      </c>
      <c r="H8" s="48">
        <f>+Zal_1_WPF_wg_przeplywow!H9</f>
        <v>0</v>
      </c>
      <c r="I8" s="48">
        <f>+Zal_1_WPF_wg_przeplywow!I9</f>
        <v>0</v>
      </c>
      <c r="J8" s="48">
        <f>+Zal_1_WPF_wg_przeplywow!J9</f>
        <v>0</v>
      </c>
      <c r="K8" s="48">
        <f>+Zal_1_WPF_wg_przeplywow!K9</f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</row>
    <row r="9" spans="1:11" ht="14.25" outlineLevel="2">
      <c r="A9" s="46"/>
      <c r="B9" s="237" t="s">
        <v>355</v>
      </c>
      <c r="C9" s="48">
        <f>+Zal_1_WPF_wg_przeplywow!C10</f>
        <v>164966</v>
      </c>
      <c r="D9" s="48">
        <f>+Zal_1_WPF_wg_przeplywow!D10</f>
        <v>0</v>
      </c>
      <c r="E9" s="48">
        <f>+Zal_1_WPF_wg_przeplywow!E10</f>
        <v>0</v>
      </c>
      <c r="F9" s="48">
        <f>+Zal_1_WPF_wg_przeplywow!F10</f>
        <v>0</v>
      </c>
      <c r="G9" s="48">
        <f>+Zal_1_WPF_wg_przeplywow!G10</f>
        <v>0</v>
      </c>
      <c r="H9" s="48">
        <f>+Zal_1_WPF_wg_przeplywow!H10</f>
        <v>0</v>
      </c>
      <c r="I9" s="48">
        <f>+Zal_1_WPF_wg_przeplywow!I10</f>
        <v>0</v>
      </c>
      <c r="J9" s="48">
        <f>+Zal_1_WPF_wg_przeplywow!J10</f>
        <v>0</v>
      </c>
      <c r="K9" s="48">
        <f>+Zal_1_WPF_wg_przeplywow!K10</f>
        <v>0</v>
      </c>
    </row>
    <row r="10" spans="1:11" ht="14.25" outlineLevel="1">
      <c r="A10" s="46"/>
      <c r="B10" s="87" t="s">
        <v>265</v>
      </c>
      <c r="C10" s="48">
        <f>+Zal_1_WPF_wg_przeplywow!C11</f>
        <v>993738</v>
      </c>
      <c r="D10" s="48">
        <f>+Zal_1_WPF_wg_przeplywow!D11</f>
        <v>634610</v>
      </c>
      <c r="E10" s="48">
        <f>+Zal_1_WPF_wg_przeplywow!E11</f>
        <v>0</v>
      </c>
      <c r="F10" s="48">
        <f>+Zal_1_WPF_wg_przeplywow!F11</f>
        <v>0</v>
      </c>
      <c r="G10" s="48">
        <f>+Zal_1_WPF_wg_przeplywow!G11</f>
        <v>0</v>
      </c>
      <c r="H10" s="48">
        <f>+Zal_1_WPF_wg_przeplywow!H11</f>
        <v>0</v>
      </c>
      <c r="I10" s="48">
        <f>+Zal_1_WPF_wg_przeplywow!I11</f>
        <v>0</v>
      </c>
      <c r="J10" s="48">
        <f>+Zal_1_WPF_wg_przeplywow!J11</f>
        <v>0</v>
      </c>
      <c r="K10" s="48">
        <f>+Zal_1_WPF_wg_przeplywow!K11</f>
        <v>0</v>
      </c>
    </row>
    <row r="11" spans="1:11" ht="14.25" outlineLevel="2">
      <c r="A11" s="46"/>
      <c r="B11" s="86" t="s">
        <v>83</v>
      </c>
      <c r="C11" s="48">
        <f>+Zal_1_WPF_wg_przeplywow!C12</f>
        <v>300000</v>
      </c>
      <c r="D11" s="48">
        <f>+Zal_1_WPF_wg_przeplywow!D12</f>
        <v>0</v>
      </c>
      <c r="E11" s="48">
        <f>+Zal_1_WPF_wg_przeplywow!E12</f>
        <v>0</v>
      </c>
      <c r="F11" s="48">
        <f>+Zal_1_WPF_wg_przeplywow!F12</f>
        <v>0</v>
      </c>
      <c r="G11" s="48">
        <f>+Zal_1_WPF_wg_przeplywow!G12</f>
        <v>0</v>
      </c>
      <c r="H11" s="48">
        <f>+Zal_1_WPF_wg_przeplywow!H12</f>
        <v>0</v>
      </c>
      <c r="I11" s="48">
        <f>+Zal_1_WPF_wg_przeplywow!I12</f>
        <v>0</v>
      </c>
      <c r="J11" s="48">
        <f>+Zal_1_WPF_wg_przeplywow!J12</f>
        <v>0</v>
      </c>
      <c r="K11" s="48">
        <f>+Zal_1_WPF_wg_przeplywow!K12</f>
        <v>0</v>
      </c>
    </row>
    <row r="12" spans="1:233" s="184" customFormat="1" ht="24" outlineLevel="2">
      <c r="A12" s="235"/>
      <c r="B12" s="231" t="s">
        <v>354</v>
      </c>
      <c r="C12" s="236">
        <f>+Zal_1_WPF_wg_przeplywow!C13</f>
        <v>693738</v>
      </c>
      <c r="D12" s="236">
        <f>+Zal_1_WPF_wg_przeplywow!D13</f>
        <v>634610</v>
      </c>
      <c r="E12" s="236">
        <f>+Zal_1_WPF_wg_przeplywow!E13</f>
        <v>0</v>
      </c>
      <c r="F12" s="236">
        <f>+Zal_1_WPF_wg_przeplywow!F13</f>
        <v>0</v>
      </c>
      <c r="G12" s="236">
        <f>+Zal_1_WPF_wg_przeplywow!G13</f>
        <v>0</v>
      </c>
      <c r="H12" s="236">
        <f>+Zal_1_WPF_wg_przeplywow!H13</f>
        <v>0</v>
      </c>
      <c r="I12" s="236">
        <f>+Zal_1_WPF_wg_przeplywow!I13</f>
        <v>0</v>
      </c>
      <c r="J12" s="236">
        <f>+Zal_1_WPF_wg_przeplywow!J13</f>
        <v>0</v>
      </c>
      <c r="K12" s="236">
        <f>+Zal_1_WPF_wg_przeplywow!K13</f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1:11" ht="14.25" outlineLevel="2">
      <c r="A13" s="60"/>
      <c r="B13" s="238" t="s">
        <v>358</v>
      </c>
      <c r="C13" s="62">
        <f>+Zal_1_WPF_wg_przeplywow!C14</f>
        <v>693738</v>
      </c>
      <c r="D13" s="62">
        <f>+Zal_1_WPF_wg_przeplywow!D14</f>
        <v>634610</v>
      </c>
      <c r="E13" s="62">
        <f>+Zal_1_WPF_wg_przeplywow!E14</f>
        <v>0</v>
      </c>
      <c r="F13" s="62">
        <f>+Zal_1_WPF_wg_przeplywow!F14</f>
        <v>0</v>
      </c>
      <c r="G13" s="62">
        <f>+Zal_1_WPF_wg_przeplywow!G14</f>
        <v>0</v>
      </c>
      <c r="H13" s="62">
        <f>+Zal_1_WPF_wg_przeplywow!H14</f>
        <v>0</v>
      </c>
      <c r="I13" s="62">
        <f>+Zal_1_WPF_wg_przeplywow!I14</f>
        <v>0</v>
      </c>
      <c r="J13" s="62">
        <f>+Zal_1_WPF_wg_przeplywow!J14</f>
        <v>0</v>
      </c>
      <c r="K13" s="62">
        <f>+Zal_1_WPF_wg_przeplywow!K14</f>
        <v>0</v>
      </c>
    </row>
    <row r="14" spans="1:233" s="2" customFormat="1" ht="15" thickBot="1">
      <c r="A14" s="43" t="s">
        <v>2</v>
      </c>
      <c r="B14" s="44" t="s">
        <v>45</v>
      </c>
      <c r="C14" s="45">
        <f>+Zal_1_WPF_wg_przeplywow!C76</f>
        <v>24766745</v>
      </c>
      <c r="D14" s="45">
        <f>+Zal_1_WPF_wg_przeplywow!D76</f>
        <v>24005610</v>
      </c>
      <c r="E14" s="45">
        <f>+Zal_1_WPF_wg_przeplywow!E76</f>
        <v>22757000</v>
      </c>
      <c r="F14" s="45">
        <f>+Zal_1_WPF_wg_przeplywow!F76</f>
        <v>23248000</v>
      </c>
      <c r="G14" s="45">
        <f>+Zal_1_WPF_wg_przeplywow!G76</f>
        <v>23650000</v>
      </c>
      <c r="H14" s="45">
        <f>+Zal_1_WPF_wg_przeplywow!H76</f>
        <v>23800000</v>
      </c>
      <c r="I14" s="45">
        <f>+Zal_1_WPF_wg_przeplywow!I76</f>
        <v>24450000</v>
      </c>
      <c r="J14" s="45">
        <f>+Zal_1_WPF_wg_przeplywow!J76</f>
        <v>24720000</v>
      </c>
      <c r="K14" s="45">
        <f>+Zal_1_WPF_wg_przeplywow!K76</f>
        <v>24870000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</row>
    <row r="15" spans="1:233" s="18" customFormat="1" ht="14.25" outlineLevel="1">
      <c r="A15" s="51"/>
      <c r="B15" s="47" t="s">
        <v>58</v>
      </c>
      <c r="C15" s="52">
        <f>+Zal_1_WPF_wg_przeplywow!C73</f>
        <v>21485526</v>
      </c>
      <c r="D15" s="52">
        <f>+Zal_1_WPF_wg_przeplywow!D73</f>
        <v>21885610</v>
      </c>
      <c r="E15" s="52">
        <f>+Zal_1_WPF_wg_przeplywow!E73</f>
        <v>22447000</v>
      </c>
      <c r="F15" s="52">
        <f>+Zal_1_WPF_wg_przeplywow!F73</f>
        <v>22918000</v>
      </c>
      <c r="G15" s="52">
        <f>+Zal_1_WPF_wg_przeplywow!G73</f>
        <v>23100000</v>
      </c>
      <c r="H15" s="52">
        <f>+Zal_1_WPF_wg_przeplywow!H73</f>
        <v>23400000</v>
      </c>
      <c r="I15" s="52">
        <f>+Zal_1_WPF_wg_przeplywow!I73</f>
        <v>23560000</v>
      </c>
      <c r="J15" s="52">
        <f>+Zal_1_WPF_wg_przeplywow!J73</f>
        <v>23740000</v>
      </c>
      <c r="K15" s="52">
        <f>+Zal_1_WPF_wg_przeplywow!K73</f>
        <v>24050000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11" ht="24" outlineLevel="2">
      <c r="A16" s="51"/>
      <c r="B16" s="49" t="s">
        <v>3</v>
      </c>
      <c r="C16" s="52">
        <f>+Zal_1_WPF_wg_przeplywow!C15</f>
        <v>21085526</v>
      </c>
      <c r="D16" s="52">
        <f>+Zal_1_WPF_wg_przeplywow!D15</f>
        <v>21485610</v>
      </c>
      <c r="E16" s="52">
        <f>+Zal_1_WPF_wg_przeplywow!E15</f>
        <v>22072000</v>
      </c>
      <c r="F16" s="52">
        <f>+Zal_1_WPF_wg_przeplywow!F15</f>
        <v>22588000</v>
      </c>
      <c r="G16" s="52">
        <f>+Zal_1_WPF_wg_przeplywow!G15</f>
        <v>22830000</v>
      </c>
      <c r="H16" s="52">
        <f>+Zal_1_WPF_wg_przeplywow!H15</f>
        <v>23175000</v>
      </c>
      <c r="I16" s="52">
        <f>+Zal_1_WPF_wg_przeplywow!I15</f>
        <v>23410000</v>
      </c>
      <c r="J16" s="52">
        <f>+Zal_1_WPF_wg_przeplywow!J15</f>
        <v>23640000</v>
      </c>
      <c r="K16" s="52">
        <f>+Zal_1_WPF_wg_przeplywow!K15</f>
        <v>24000000</v>
      </c>
    </row>
    <row r="17" spans="1:11" ht="14.25" outlineLevel="3">
      <c r="A17" s="46"/>
      <c r="B17" s="53" t="s">
        <v>134</v>
      </c>
      <c r="C17" s="48">
        <f>+Zal_1_WPF_wg_przeplywow!C18</f>
        <v>0</v>
      </c>
      <c r="D17" s="48">
        <f>+Zal_1_WPF_wg_przeplywow!D18</f>
        <v>0</v>
      </c>
      <c r="E17" s="48">
        <f>+Zal_1_WPF_wg_przeplywow!E18</f>
        <v>0</v>
      </c>
      <c r="F17" s="48">
        <f>+Zal_1_WPF_wg_przeplywow!F18</f>
        <v>0</v>
      </c>
      <c r="G17" s="48">
        <f>+Zal_1_WPF_wg_przeplywow!G18</f>
        <v>0</v>
      </c>
      <c r="H17" s="48">
        <f>+Zal_1_WPF_wg_przeplywow!H18</f>
        <v>0</v>
      </c>
      <c r="I17" s="48">
        <f>+Zal_1_WPF_wg_przeplywow!I18</f>
        <v>0</v>
      </c>
      <c r="J17" s="48">
        <f>+Zal_1_WPF_wg_przeplywow!J18</f>
        <v>0</v>
      </c>
      <c r="K17" s="48">
        <f>+Zal_1_WPF_wg_przeplywow!K18</f>
        <v>0</v>
      </c>
    </row>
    <row r="18" spans="1:11" ht="24" outlineLevel="3">
      <c r="A18" s="46"/>
      <c r="B18" s="54" t="s">
        <v>135</v>
      </c>
      <c r="C18" s="48">
        <f>+Zal_1_WPF_wg_przeplywow!C19</f>
        <v>0</v>
      </c>
      <c r="D18" s="48">
        <f>+Zal_1_WPF_wg_przeplywow!D19</f>
        <v>0</v>
      </c>
      <c r="E18" s="48">
        <f>+Zal_1_WPF_wg_przeplywow!E19</f>
        <v>0</v>
      </c>
      <c r="F18" s="48">
        <f>+Zal_1_WPF_wg_przeplywow!F19</f>
        <v>0</v>
      </c>
      <c r="G18" s="48">
        <f>+Zal_1_WPF_wg_przeplywow!G19</f>
        <v>0</v>
      </c>
      <c r="H18" s="48">
        <f>+Zal_1_WPF_wg_przeplywow!H19</f>
        <v>0</v>
      </c>
      <c r="I18" s="48">
        <f>+Zal_1_WPF_wg_przeplywow!I19</f>
        <v>0</v>
      </c>
      <c r="J18" s="48">
        <f>+Zal_1_WPF_wg_przeplywow!J19</f>
        <v>0</v>
      </c>
      <c r="K18" s="48">
        <f>+Zal_1_WPF_wg_przeplywow!K19</f>
        <v>0</v>
      </c>
    </row>
    <row r="19" spans="1:11" s="184" customFormat="1" ht="24" outlineLevel="3">
      <c r="A19" s="46"/>
      <c r="B19" s="53" t="s">
        <v>360</v>
      </c>
      <c r="C19" s="48">
        <f>+Zal_1_WPF_wg_przeplywow!C20</f>
        <v>0</v>
      </c>
      <c r="D19" s="48">
        <f>+Zal_1_WPF_wg_przeplywow!D20</f>
        <v>0</v>
      </c>
      <c r="E19" s="48">
        <f>+Zal_1_WPF_wg_przeplywow!E20</f>
        <v>0</v>
      </c>
      <c r="F19" s="48">
        <f>+Zal_1_WPF_wg_przeplywow!F20</f>
        <v>0</v>
      </c>
      <c r="G19" s="48">
        <f>+Zal_1_WPF_wg_przeplywow!G20</f>
        <v>0</v>
      </c>
      <c r="H19" s="48">
        <f>+Zal_1_WPF_wg_przeplywow!H20</f>
        <v>0</v>
      </c>
      <c r="I19" s="48">
        <f>+Zal_1_WPF_wg_przeplywow!I20</f>
        <v>0</v>
      </c>
      <c r="J19" s="48">
        <f>+Zal_1_WPF_wg_przeplywow!J20</f>
        <v>0</v>
      </c>
      <c r="K19" s="48">
        <f>+Zal_1_WPF_wg_przeplywow!K20</f>
        <v>0</v>
      </c>
    </row>
    <row r="20" spans="1:11" ht="24" outlineLevel="3">
      <c r="A20" s="46"/>
      <c r="B20" s="53" t="s">
        <v>362</v>
      </c>
      <c r="C20" s="52">
        <f>+Zal_1_WPF_wg_przeplywow!C22</f>
        <v>180044</v>
      </c>
      <c r="D20" s="52">
        <f>+Zal_1_WPF_wg_przeplywow!D22</f>
        <v>0</v>
      </c>
      <c r="E20" s="52">
        <f>+Zal_1_WPF_wg_przeplywow!E22</f>
        <v>0</v>
      </c>
      <c r="F20" s="52">
        <f>+Zal_1_WPF_wg_przeplywow!F22</f>
        <v>0</v>
      </c>
      <c r="G20" s="52">
        <f>+Zal_1_WPF_wg_przeplywow!G22</f>
        <v>0</v>
      </c>
      <c r="H20" s="52">
        <f>+Zal_1_WPF_wg_przeplywow!H22</f>
        <v>0</v>
      </c>
      <c r="I20" s="52">
        <f>+Zal_1_WPF_wg_przeplywow!I22</f>
        <v>0</v>
      </c>
      <c r="J20" s="52">
        <f>+Zal_1_WPF_wg_przeplywow!J22</f>
        <v>0</v>
      </c>
      <c r="K20" s="52">
        <f>+Zal_1_WPF_wg_przeplywow!K22</f>
        <v>0</v>
      </c>
    </row>
    <row r="21" spans="1:11" s="184" customFormat="1" ht="14.25" outlineLevel="3">
      <c r="A21" s="46"/>
      <c r="B21" s="54" t="s">
        <v>363</v>
      </c>
      <c r="C21" s="52">
        <f>+Zal_1_WPF_wg_przeplywow!C23</f>
        <v>164966</v>
      </c>
      <c r="D21" s="52">
        <f>+Zal_1_WPF_wg_przeplywow!D23</f>
        <v>0</v>
      </c>
      <c r="E21" s="52">
        <f>+Zal_1_WPF_wg_przeplywow!E23</f>
        <v>0</v>
      </c>
      <c r="F21" s="52">
        <f>+Zal_1_WPF_wg_przeplywow!F23</f>
        <v>0</v>
      </c>
      <c r="G21" s="52">
        <f>+Zal_1_WPF_wg_przeplywow!G23</f>
        <v>0</v>
      </c>
      <c r="H21" s="52">
        <f>+Zal_1_WPF_wg_przeplywow!H23</f>
        <v>0</v>
      </c>
      <c r="I21" s="52">
        <f>+Zal_1_WPF_wg_przeplywow!I23</f>
        <v>0</v>
      </c>
      <c r="J21" s="52">
        <f>+Zal_1_WPF_wg_przeplywow!J23</f>
        <v>0</v>
      </c>
      <c r="K21" s="52">
        <f>+Zal_1_WPF_wg_przeplywow!K23</f>
        <v>0</v>
      </c>
    </row>
    <row r="22" spans="1:11" ht="14.25" outlineLevel="2">
      <c r="A22" s="51"/>
      <c r="B22" s="53" t="s">
        <v>272</v>
      </c>
      <c r="C22" s="48">
        <f>+Zal_1_WPF_wg_przeplywow!C35</f>
        <v>400000</v>
      </c>
      <c r="D22" s="48">
        <f>+Zal_1_WPF_wg_przeplywow!D35</f>
        <v>400000</v>
      </c>
      <c r="E22" s="48">
        <f>+Zal_1_WPF_wg_przeplywow!E35</f>
        <v>375000</v>
      </c>
      <c r="F22" s="48">
        <f>+Zal_1_WPF_wg_przeplywow!F35</f>
        <v>330000</v>
      </c>
      <c r="G22" s="48">
        <f>+Zal_1_WPF_wg_przeplywow!G35</f>
        <v>270000</v>
      </c>
      <c r="H22" s="48">
        <f>+Zal_1_WPF_wg_przeplywow!H35</f>
        <v>225000</v>
      </c>
      <c r="I22" s="48">
        <f>+Zal_1_WPF_wg_przeplywow!I35</f>
        <v>150000</v>
      </c>
      <c r="J22" s="48">
        <f>+Zal_1_WPF_wg_przeplywow!J35</f>
        <v>100000</v>
      </c>
      <c r="K22" s="48">
        <f>+Zal_1_WPF_wg_przeplywow!K35</f>
        <v>50000</v>
      </c>
    </row>
    <row r="23" spans="1:11" ht="14.25" outlineLevel="3">
      <c r="A23" s="51"/>
      <c r="B23" s="54" t="s">
        <v>365</v>
      </c>
      <c r="C23" s="48">
        <f>+Zal_1_WPF_wg_przeplywow!C36</f>
        <v>400000</v>
      </c>
      <c r="D23" s="48">
        <f>+Zal_1_WPF_wg_przeplywow!D36</f>
        <v>400000</v>
      </c>
      <c r="E23" s="48">
        <f>+Zal_1_WPF_wg_przeplywow!E36</f>
        <v>375000</v>
      </c>
      <c r="F23" s="48">
        <f>+Zal_1_WPF_wg_przeplywow!F36</f>
        <v>330000</v>
      </c>
      <c r="G23" s="48">
        <f>+Zal_1_WPF_wg_przeplywow!G36</f>
        <v>270000</v>
      </c>
      <c r="H23" s="48">
        <f>+Zal_1_WPF_wg_przeplywow!H36</f>
        <v>225000</v>
      </c>
      <c r="I23" s="48">
        <f>+Zal_1_WPF_wg_przeplywow!I36</f>
        <v>150000</v>
      </c>
      <c r="J23" s="48">
        <f>+Zal_1_WPF_wg_przeplywow!J36</f>
        <v>100000</v>
      </c>
      <c r="K23" s="48">
        <f>+Zal_1_WPF_wg_przeplywow!K36</f>
        <v>50000</v>
      </c>
    </row>
    <row r="24" spans="1:11" ht="14.25" outlineLevel="1">
      <c r="A24" s="51"/>
      <c r="B24" s="47" t="s">
        <v>17</v>
      </c>
      <c r="C24" s="52">
        <f>+Zal_1_WPF_wg_przeplywow!C39</f>
        <v>3281219</v>
      </c>
      <c r="D24" s="52">
        <f>+Zal_1_WPF_wg_przeplywow!D39</f>
        <v>2120000</v>
      </c>
      <c r="E24" s="52">
        <f>+Zal_1_WPF_wg_przeplywow!E39</f>
        <v>310000</v>
      </c>
      <c r="F24" s="52">
        <f>+Zal_1_WPF_wg_przeplywow!F39</f>
        <v>330000</v>
      </c>
      <c r="G24" s="52">
        <f>+Zal_1_WPF_wg_przeplywow!G39</f>
        <v>550000</v>
      </c>
      <c r="H24" s="52">
        <f>+Zal_1_WPF_wg_przeplywow!H39</f>
        <v>400000</v>
      </c>
      <c r="I24" s="52">
        <f>+Zal_1_WPF_wg_przeplywow!I39</f>
        <v>890000</v>
      </c>
      <c r="J24" s="52">
        <f>+Zal_1_WPF_wg_przeplywow!J39</f>
        <v>980000</v>
      </c>
      <c r="K24" s="52">
        <f>+Zal_1_WPF_wg_przeplywow!K39</f>
        <v>820000</v>
      </c>
    </row>
    <row r="25" spans="1:11" ht="24" outlineLevel="2">
      <c r="A25" s="51"/>
      <c r="B25" s="49" t="s">
        <v>362</v>
      </c>
      <c r="C25" s="52">
        <f>+Zal_1_WPF_wg_przeplywow!C41</f>
        <v>910000</v>
      </c>
      <c r="D25" s="52">
        <f>+Zal_1_WPF_wg_przeplywow!D41</f>
        <v>920000</v>
      </c>
      <c r="E25" s="52">
        <f>+Zal_1_WPF_wg_przeplywow!E41</f>
        <v>0</v>
      </c>
      <c r="F25" s="52">
        <f>+Zal_1_WPF_wg_przeplywow!F41</f>
        <v>0</v>
      </c>
      <c r="G25" s="52">
        <f>+Zal_1_WPF_wg_przeplywow!G41</f>
        <v>0</v>
      </c>
      <c r="H25" s="52">
        <f>+Zal_1_WPF_wg_przeplywow!H41</f>
        <v>0</v>
      </c>
      <c r="I25" s="52">
        <f>+Zal_1_WPF_wg_przeplywow!I41</f>
        <v>0</v>
      </c>
      <c r="J25" s="52">
        <f>+Zal_1_WPF_wg_przeplywow!J41</f>
        <v>0</v>
      </c>
      <c r="K25" s="52">
        <f>+Zal_1_WPF_wg_przeplywow!K41</f>
        <v>0</v>
      </c>
    </row>
    <row r="26" spans="1:11" s="184" customFormat="1" ht="14.25" outlineLevel="2">
      <c r="A26" s="64"/>
      <c r="B26" s="255" t="s">
        <v>363</v>
      </c>
      <c r="C26" s="65">
        <f>+Zal_1_WPF_wg_przeplywow!C42</f>
        <v>693738</v>
      </c>
      <c r="D26" s="65">
        <f>+Zal_1_WPF_wg_przeplywow!D42</f>
        <v>634610</v>
      </c>
      <c r="E26" s="65">
        <f>+Zal_1_WPF_wg_przeplywow!E42</f>
        <v>0</v>
      </c>
      <c r="F26" s="65">
        <f>+Zal_1_WPF_wg_przeplywow!F42</f>
        <v>0</v>
      </c>
      <c r="G26" s="65">
        <f>+Zal_1_WPF_wg_przeplywow!G42</f>
        <v>0</v>
      </c>
      <c r="H26" s="65">
        <f>+Zal_1_WPF_wg_przeplywow!H42</f>
        <v>0</v>
      </c>
      <c r="I26" s="65">
        <f>+Zal_1_WPF_wg_przeplywow!I42</f>
        <v>0</v>
      </c>
      <c r="J26" s="65">
        <f>+Zal_1_WPF_wg_przeplywow!J42</f>
        <v>0</v>
      </c>
      <c r="K26" s="65">
        <f>+Zal_1_WPF_wg_przeplywow!K42</f>
        <v>0</v>
      </c>
    </row>
    <row r="27" spans="1:11" ht="14.25">
      <c r="A27" s="39" t="s">
        <v>6</v>
      </c>
      <c r="B27" s="40" t="s">
        <v>47</v>
      </c>
      <c r="C27" s="35">
        <f>+Zal_1_WPF_wg_przeplywow!C77</f>
        <v>-1500000</v>
      </c>
      <c r="D27" s="35">
        <f>+Zal_1_WPF_wg_przeplywow!D77</f>
        <v>-300000</v>
      </c>
      <c r="E27" s="35">
        <f>+Zal_1_WPF_wg_przeplywow!E77</f>
        <v>790000</v>
      </c>
      <c r="F27" s="35">
        <f>+Zal_1_WPF_wg_przeplywow!F77</f>
        <v>770000</v>
      </c>
      <c r="G27" s="35">
        <f>+Zal_1_WPF_wg_przeplywow!G77</f>
        <v>850000</v>
      </c>
      <c r="H27" s="35">
        <f>+Zal_1_WPF_wg_przeplywow!H77</f>
        <v>1000000</v>
      </c>
      <c r="I27" s="35">
        <f>+Zal_1_WPF_wg_przeplywow!I77</f>
        <v>650000</v>
      </c>
      <c r="J27" s="35">
        <f>+Zal_1_WPF_wg_przeplywow!J77</f>
        <v>640000</v>
      </c>
      <c r="K27" s="35">
        <f>+Zal_1_WPF_wg_przeplywow!K77</f>
        <v>490000</v>
      </c>
    </row>
    <row r="28" spans="1:233" s="28" customFormat="1" ht="14.25" outlineLevel="1">
      <c r="A28" s="133" t="s">
        <v>7</v>
      </c>
      <c r="B28" s="134" t="s">
        <v>48</v>
      </c>
      <c r="C28" s="45">
        <f>+Zal_1_WPF_wg_przeplywow!C74</f>
        <v>787481</v>
      </c>
      <c r="D28" s="45">
        <f>+Zal_1_WPF_wg_przeplywow!D74</f>
        <v>1185390</v>
      </c>
      <c r="E28" s="45">
        <f>+Zal_1_WPF_wg_przeplywow!E74</f>
        <v>1100000</v>
      </c>
      <c r="F28" s="45">
        <f>+Zal_1_WPF_wg_przeplywow!F74</f>
        <v>1100000</v>
      </c>
      <c r="G28" s="45">
        <f>+Zal_1_WPF_wg_przeplywow!G74</f>
        <v>1400000</v>
      </c>
      <c r="H28" s="45">
        <f>+Zal_1_WPF_wg_przeplywow!H74</f>
        <v>1400000</v>
      </c>
      <c r="I28" s="45">
        <f>+Zal_1_WPF_wg_przeplywow!I74</f>
        <v>1540000</v>
      </c>
      <c r="J28" s="45">
        <f>+Zal_1_WPF_wg_przeplywow!J74</f>
        <v>1620000</v>
      </c>
      <c r="K28" s="45">
        <f>+Zal_1_WPF_wg_przeplywow!K74</f>
        <v>1310000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</row>
    <row r="29" spans="1:233" s="28" customFormat="1" ht="14.25" outlineLevel="1">
      <c r="A29" s="135"/>
      <c r="B29" s="136" t="s">
        <v>159</v>
      </c>
      <c r="C29" s="65">
        <f>+C10-C24</f>
        <v>-2287481</v>
      </c>
      <c r="D29" s="65">
        <f aca="true" t="shared" si="0" ref="D29:K29">+D10-D24</f>
        <v>-1485390</v>
      </c>
      <c r="E29" s="65">
        <f t="shared" si="0"/>
        <v>-310000</v>
      </c>
      <c r="F29" s="65">
        <f t="shared" si="0"/>
        <v>-330000</v>
      </c>
      <c r="G29" s="65">
        <f t="shared" si="0"/>
        <v>-550000</v>
      </c>
      <c r="H29" s="65">
        <f t="shared" si="0"/>
        <v>-400000</v>
      </c>
      <c r="I29" s="65">
        <f t="shared" si="0"/>
        <v>-890000</v>
      </c>
      <c r="J29" s="65">
        <f t="shared" si="0"/>
        <v>-980000</v>
      </c>
      <c r="K29" s="65">
        <f t="shared" si="0"/>
        <v>-820000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</row>
    <row r="30" spans="1:11" ht="14.25">
      <c r="A30" s="43" t="s">
        <v>8</v>
      </c>
      <c r="B30" s="44" t="s">
        <v>49</v>
      </c>
      <c r="C30" s="45">
        <f>+Zal_1_WPF_wg_przeplywow!C78</f>
        <v>2025000</v>
      </c>
      <c r="D30" s="45">
        <f>+Zal_1_WPF_wg_przeplywow!D78</f>
        <v>1000000</v>
      </c>
      <c r="E30" s="45">
        <f>+Zal_1_WPF_wg_przeplywow!E78</f>
        <v>0</v>
      </c>
      <c r="F30" s="45">
        <f>+Zal_1_WPF_wg_przeplywow!F78</f>
        <v>0</v>
      </c>
      <c r="G30" s="45">
        <f>+Zal_1_WPF_wg_przeplywow!G78</f>
        <v>0</v>
      </c>
      <c r="H30" s="45">
        <f>+Zal_1_WPF_wg_przeplywow!H78</f>
        <v>0</v>
      </c>
      <c r="I30" s="45">
        <f>+Zal_1_WPF_wg_przeplywow!I78</f>
        <v>0</v>
      </c>
      <c r="J30" s="45">
        <f>+Zal_1_WPF_wg_przeplywow!J78</f>
        <v>0</v>
      </c>
      <c r="K30" s="45">
        <f>+Zal_1_WPF_wg_przeplywow!K78</f>
        <v>0</v>
      </c>
    </row>
    <row r="31" spans="1:11" ht="24" outlineLevel="1">
      <c r="A31" s="46"/>
      <c r="B31" s="47" t="s">
        <v>269</v>
      </c>
      <c r="C31" s="52">
        <f>+Zal_1_WPF_wg_przeplywow!C25</f>
        <v>0</v>
      </c>
      <c r="D31" s="52">
        <f>+Zal_1_WPF_wg_przeplywow!D25</f>
        <v>0</v>
      </c>
      <c r="E31" s="52">
        <f>+Zal_1_WPF_wg_przeplywow!E25</f>
        <v>0</v>
      </c>
      <c r="F31" s="52">
        <f>+Zal_1_WPF_wg_przeplywow!F25</f>
        <v>0</v>
      </c>
      <c r="G31" s="52">
        <f>+Zal_1_WPF_wg_przeplywow!G25</f>
        <v>0</v>
      </c>
      <c r="H31" s="52">
        <f>+Zal_1_WPF_wg_przeplywow!H25</f>
        <v>0</v>
      </c>
      <c r="I31" s="52">
        <f>+Zal_1_WPF_wg_przeplywow!I25</f>
        <v>0</v>
      </c>
      <c r="J31" s="52">
        <f>+Zal_1_WPF_wg_przeplywow!J25</f>
        <v>0</v>
      </c>
      <c r="K31" s="52">
        <f>+Zal_1_WPF_wg_przeplywow!K25</f>
        <v>0</v>
      </c>
    </row>
    <row r="32" spans="1:11" s="184" customFormat="1" ht="24" outlineLevel="2">
      <c r="A32" s="46"/>
      <c r="B32" s="240" t="s">
        <v>366</v>
      </c>
      <c r="C32" s="48">
        <f>+Zal_1_WPF_wg_przeplywow!C27</f>
        <v>0</v>
      </c>
      <c r="D32" s="48">
        <f>+Zal_1_WPF_wg_przeplywow!D27</f>
        <v>0</v>
      </c>
      <c r="E32" s="48">
        <f>+Zal_1_WPF_wg_przeplywow!E27</f>
        <v>0</v>
      </c>
      <c r="F32" s="48">
        <f>+Zal_1_WPF_wg_przeplywow!F27</f>
        <v>0</v>
      </c>
      <c r="G32" s="48">
        <f>+Zal_1_WPF_wg_przeplywow!G27</f>
        <v>0</v>
      </c>
      <c r="H32" s="48">
        <f>+Zal_1_WPF_wg_przeplywow!H27</f>
        <v>0</v>
      </c>
      <c r="I32" s="48">
        <f>+Zal_1_WPF_wg_przeplywow!I27</f>
        <v>0</v>
      </c>
      <c r="J32" s="48">
        <f>+Zal_1_WPF_wg_przeplywow!J27</f>
        <v>0</v>
      </c>
      <c r="K32" s="48">
        <f>+Zal_1_WPF_wg_przeplywow!K27</f>
        <v>0</v>
      </c>
    </row>
    <row r="33" spans="1:11" s="184" customFormat="1" ht="14.25" outlineLevel="2">
      <c r="A33" s="46"/>
      <c r="B33" s="55" t="s">
        <v>59</v>
      </c>
      <c r="C33" s="48">
        <f>+Zal_1_WPF_wg_przeplywow!C28</f>
        <v>0</v>
      </c>
      <c r="D33" s="48">
        <f>+Zal_1_WPF_wg_przeplywow!D28</f>
        <v>0</v>
      </c>
      <c r="E33" s="48">
        <f>+Zal_1_WPF_wg_przeplywow!E28</f>
        <v>0</v>
      </c>
      <c r="F33" s="48">
        <f>+Zal_1_WPF_wg_przeplywow!F28</f>
        <v>0</v>
      </c>
      <c r="G33" s="48">
        <f>+Zal_1_WPF_wg_przeplywow!G28</f>
        <v>0</v>
      </c>
      <c r="H33" s="48">
        <f>+Zal_1_WPF_wg_przeplywow!H28</f>
        <v>0</v>
      </c>
      <c r="I33" s="48">
        <f>+Zal_1_WPF_wg_przeplywow!I28</f>
        <v>0</v>
      </c>
      <c r="J33" s="48">
        <f>+Zal_1_WPF_wg_przeplywow!J28</f>
        <v>0</v>
      </c>
      <c r="K33" s="48">
        <f>+Zal_1_WPF_wg_przeplywow!K28</f>
        <v>0</v>
      </c>
    </row>
    <row r="34" spans="1:11" ht="14.25" outlineLevel="1">
      <c r="A34" s="46"/>
      <c r="B34" s="47" t="s">
        <v>60</v>
      </c>
      <c r="C34" s="52">
        <f>+Zal_1_WPF_wg_przeplywow!C43</f>
        <v>2000000</v>
      </c>
      <c r="D34" s="52">
        <f>+Zal_1_WPF_wg_przeplywow!D43</f>
        <v>1000000</v>
      </c>
      <c r="E34" s="52">
        <f>+Zal_1_WPF_wg_przeplywow!E43</f>
        <v>0</v>
      </c>
      <c r="F34" s="52">
        <f>+Zal_1_WPF_wg_przeplywow!F43</f>
        <v>0</v>
      </c>
      <c r="G34" s="52">
        <f>+Zal_1_WPF_wg_przeplywow!G43</f>
        <v>0</v>
      </c>
      <c r="H34" s="52">
        <f>+Zal_1_WPF_wg_przeplywow!H43</f>
        <v>0</v>
      </c>
      <c r="I34" s="52">
        <f>+Zal_1_WPF_wg_przeplywow!I43</f>
        <v>0</v>
      </c>
      <c r="J34" s="52">
        <f>+Zal_1_WPF_wg_przeplywow!J43</f>
        <v>0</v>
      </c>
      <c r="K34" s="52">
        <f>+Zal_1_WPF_wg_przeplywow!K43</f>
        <v>0</v>
      </c>
    </row>
    <row r="35" spans="1:11" ht="14.25" outlineLevel="2">
      <c r="A35" s="46"/>
      <c r="B35" s="49" t="s">
        <v>61</v>
      </c>
      <c r="C35" s="52">
        <f>+Zal_1_WPF_wg_przeplywow!C44</f>
        <v>1500000</v>
      </c>
      <c r="D35" s="52">
        <f>+Zal_1_WPF_wg_przeplywow!D44</f>
        <v>300000</v>
      </c>
      <c r="E35" s="52">
        <f>+Zal_1_WPF_wg_przeplywow!E44</f>
        <v>0</v>
      </c>
      <c r="F35" s="52">
        <f>+Zal_1_WPF_wg_przeplywow!F44</f>
        <v>0</v>
      </c>
      <c r="G35" s="52">
        <f>+Zal_1_WPF_wg_przeplywow!G44</f>
        <v>0</v>
      </c>
      <c r="H35" s="52">
        <f>+Zal_1_WPF_wg_przeplywow!H44</f>
        <v>0</v>
      </c>
      <c r="I35" s="52">
        <f>+Zal_1_WPF_wg_przeplywow!I44</f>
        <v>0</v>
      </c>
      <c r="J35" s="52">
        <f>+Zal_1_WPF_wg_przeplywow!J44</f>
        <v>0</v>
      </c>
      <c r="K35" s="52">
        <f>+Zal_1_WPF_wg_przeplywow!K44</f>
        <v>0</v>
      </c>
    </row>
    <row r="36" spans="1:11" ht="14.25" outlineLevel="1">
      <c r="A36" s="46"/>
      <c r="B36" s="47" t="s">
        <v>50</v>
      </c>
      <c r="C36" s="52">
        <f>+Zal_1_WPF_wg_przeplywow!C29</f>
        <v>25000</v>
      </c>
      <c r="D36" s="52">
        <f>+Zal_1_WPF_wg_przeplywow!D29</f>
        <v>0</v>
      </c>
      <c r="E36" s="52">
        <f>+Zal_1_WPF_wg_przeplywow!E29</f>
        <v>0</v>
      </c>
      <c r="F36" s="52">
        <f>+Zal_1_WPF_wg_przeplywow!F29</f>
        <v>0</v>
      </c>
      <c r="G36" s="52">
        <f>+Zal_1_WPF_wg_przeplywow!G29</f>
        <v>0</v>
      </c>
      <c r="H36" s="52">
        <f>+Zal_1_WPF_wg_przeplywow!H29</f>
        <v>0</v>
      </c>
      <c r="I36" s="52">
        <f>+Zal_1_WPF_wg_przeplywow!I29</f>
        <v>0</v>
      </c>
      <c r="J36" s="52">
        <f>+Zal_1_WPF_wg_przeplywow!J29</f>
        <v>0</v>
      </c>
      <c r="K36" s="52">
        <f>+Zal_1_WPF_wg_przeplywow!K29</f>
        <v>0</v>
      </c>
    </row>
    <row r="37" spans="1:11" ht="14.25" outlineLevel="2">
      <c r="A37" s="60"/>
      <c r="B37" s="63" t="s">
        <v>61</v>
      </c>
      <c r="C37" s="65">
        <f>+Zal_1_WPF_wg_przeplywow!C30</f>
        <v>0</v>
      </c>
      <c r="D37" s="65">
        <f>+Zal_1_WPF_wg_przeplywow!D30</f>
        <v>0</v>
      </c>
      <c r="E37" s="65">
        <f>+Zal_1_WPF_wg_przeplywow!E30</f>
        <v>0</v>
      </c>
      <c r="F37" s="65">
        <f>+Zal_1_WPF_wg_przeplywow!F30</f>
        <v>0</v>
      </c>
      <c r="G37" s="65">
        <f>+Zal_1_WPF_wg_przeplywow!G30</f>
        <v>0</v>
      </c>
      <c r="H37" s="65">
        <f>+Zal_1_WPF_wg_przeplywow!H30</f>
        <v>0</v>
      </c>
      <c r="I37" s="65">
        <f>+Zal_1_WPF_wg_przeplywow!I30</f>
        <v>0</v>
      </c>
      <c r="J37" s="65">
        <f>+Zal_1_WPF_wg_przeplywow!J30</f>
        <v>0</v>
      </c>
      <c r="K37" s="65">
        <f>+Zal_1_WPF_wg_przeplywow!K30</f>
        <v>0</v>
      </c>
    </row>
    <row r="38" spans="1:11" ht="14.25">
      <c r="A38" s="43" t="s">
        <v>9</v>
      </c>
      <c r="B38" s="44" t="s">
        <v>51</v>
      </c>
      <c r="C38" s="45">
        <f>+Zal_1_WPF_wg_przeplywow!C79</f>
        <v>525000</v>
      </c>
      <c r="D38" s="45">
        <f>+Zal_1_WPF_wg_przeplywow!D79</f>
        <v>700000</v>
      </c>
      <c r="E38" s="45">
        <f>+Zal_1_WPF_wg_przeplywow!E79</f>
        <v>790000</v>
      </c>
      <c r="F38" s="45">
        <f>+Zal_1_WPF_wg_przeplywow!F79</f>
        <v>770000</v>
      </c>
      <c r="G38" s="45">
        <f>+Zal_1_WPF_wg_przeplywow!G79</f>
        <v>850000</v>
      </c>
      <c r="H38" s="45">
        <f>+Zal_1_WPF_wg_przeplywow!H79</f>
        <v>1000000</v>
      </c>
      <c r="I38" s="45">
        <f>+Zal_1_WPF_wg_przeplywow!I79</f>
        <v>650000</v>
      </c>
      <c r="J38" s="45">
        <f>+Zal_1_WPF_wg_przeplywow!J79</f>
        <v>640000</v>
      </c>
      <c r="K38" s="45">
        <f>+Zal_1_WPF_wg_przeplywow!K79</f>
        <v>490000</v>
      </c>
    </row>
    <row r="39" spans="1:11" ht="14.25" outlineLevel="1">
      <c r="A39" s="46"/>
      <c r="B39" s="47" t="s">
        <v>62</v>
      </c>
      <c r="C39" s="48">
        <f>+Zal_1_WPF_wg_przeplywow!C33</f>
        <v>500000</v>
      </c>
      <c r="D39" s="48">
        <f>+Zal_1_WPF_wg_przeplywow!D33</f>
        <v>700000</v>
      </c>
      <c r="E39" s="48">
        <f>+Zal_1_WPF_wg_przeplywow!E33</f>
        <v>790000</v>
      </c>
      <c r="F39" s="48">
        <f>+Zal_1_WPF_wg_przeplywow!F33</f>
        <v>770000</v>
      </c>
      <c r="G39" s="48">
        <f>+Zal_1_WPF_wg_przeplywow!G33</f>
        <v>850000</v>
      </c>
      <c r="H39" s="48">
        <f>+Zal_1_WPF_wg_przeplywow!H33</f>
        <v>1000000</v>
      </c>
      <c r="I39" s="48">
        <f>+Zal_1_WPF_wg_przeplywow!I33</f>
        <v>650000</v>
      </c>
      <c r="J39" s="48">
        <f>+Zal_1_WPF_wg_przeplywow!J33</f>
        <v>640000</v>
      </c>
      <c r="K39" s="48">
        <f>+Zal_1_WPF_wg_przeplywow!K33</f>
        <v>490000</v>
      </c>
    </row>
    <row r="40" spans="1:11" ht="24" outlineLevel="2">
      <c r="A40" s="46"/>
      <c r="B40" s="49" t="s">
        <v>63</v>
      </c>
      <c r="C40" s="48">
        <f>+Zal_1_WPF_wg_przeplywow!C34</f>
        <v>0</v>
      </c>
      <c r="D40" s="48">
        <f>+Zal_1_WPF_wg_przeplywow!D34</f>
        <v>0</v>
      </c>
      <c r="E40" s="48">
        <f>+Zal_1_WPF_wg_przeplywow!E34</f>
        <v>0</v>
      </c>
      <c r="F40" s="48">
        <f>+Zal_1_WPF_wg_przeplywow!F34</f>
        <v>0</v>
      </c>
      <c r="G40" s="48">
        <f>+Zal_1_WPF_wg_przeplywow!G34</f>
        <v>0</v>
      </c>
      <c r="H40" s="48">
        <f>+Zal_1_WPF_wg_przeplywow!H34</f>
        <v>0</v>
      </c>
      <c r="I40" s="48">
        <f>+Zal_1_WPF_wg_przeplywow!I34</f>
        <v>0</v>
      </c>
      <c r="J40" s="48">
        <f>+Zal_1_WPF_wg_przeplywow!J34</f>
        <v>0</v>
      </c>
      <c r="K40" s="48">
        <f>+Zal_1_WPF_wg_przeplywow!K34</f>
        <v>0</v>
      </c>
    </row>
    <row r="41" spans="1:11" ht="15" outlineLevel="1" thickBot="1">
      <c r="A41" s="60"/>
      <c r="B41" s="61" t="s">
        <v>14</v>
      </c>
      <c r="C41" s="65">
        <f>+Zal_1_WPF_wg_przeplywow!C37</f>
        <v>25000</v>
      </c>
      <c r="D41" s="65">
        <f>+Zal_1_WPF_wg_przeplywow!D37</f>
        <v>0</v>
      </c>
      <c r="E41" s="65">
        <f>+Zal_1_WPF_wg_przeplywow!E37</f>
        <v>0</v>
      </c>
      <c r="F41" s="65">
        <f>+Zal_1_WPF_wg_przeplywow!F37</f>
        <v>0</v>
      </c>
      <c r="G41" s="65">
        <f>+Zal_1_WPF_wg_przeplywow!G37</f>
        <v>0</v>
      </c>
      <c r="H41" s="65">
        <f>+Zal_1_WPF_wg_przeplywow!H37</f>
        <v>0</v>
      </c>
      <c r="I41" s="65">
        <f>+Zal_1_WPF_wg_przeplywow!I37</f>
        <v>0</v>
      </c>
      <c r="J41" s="65">
        <f>+Zal_1_WPF_wg_przeplywow!J37</f>
        <v>0</v>
      </c>
      <c r="K41" s="65">
        <f>+Zal_1_WPF_wg_przeplywow!K37</f>
        <v>0</v>
      </c>
    </row>
    <row r="42" spans="1:233" s="18" customFormat="1" ht="14.25">
      <c r="A42" s="43" t="s">
        <v>10</v>
      </c>
      <c r="B42" s="44" t="s">
        <v>64</v>
      </c>
      <c r="C42" s="45">
        <f>+Zal_1_WPF_wg_przeplywow!C46</f>
        <v>4890000</v>
      </c>
      <c r="D42" s="45">
        <f>+Zal_1_WPF_wg_przeplywow!D46</f>
        <v>5190000</v>
      </c>
      <c r="E42" s="45">
        <f>+Zal_1_WPF_wg_przeplywow!E46</f>
        <v>4400000</v>
      </c>
      <c r="F42" s="45">
        <f>+Zal_1_WPF_wg_przeplywow!F46</f>
        <v>3630000</v>
      </c>
      <c r="G42" s="45">
        <f>+Zal_1_WPF_wg_przeplywow!G46</f>
        <v>2780000</v>
      </c>
      <c r="H42" s="45">
        <f>+Zal_1_WPF_wg_przeplywow!H46</f>
        <v>1780000</v>
      </c>
      <c r="I42" s="45">
        <f>+Zal_1_WPF_wg_przeplywow!I46</f>
        <v>1130000</v>
      </c>
      <c r="J42" s="45">
        <f>+Zal_1_WPF_wg_przeplywow!J46</f>
        <v>490000</v>
      </c>
      <c r="K42" s="45">
        <f>+Zal_1_WPF_wg_przeplywow!K46</f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</row>
    <row r="43" spans="1:233" s="2" customFormat="1" ht="24" outlineLevel="1">
      <c r="A43" s="64"/>
      <c r="B43" s="61" t="s">
        <v>65</v>
      </c>
      <c r="C43" s="65">
        <f>+Zal_1_WPF_wg_przeplywow!C47</f>
        <v>0</v>
      </c>
      <c r="D43" s="65">
        <f>+Zal_1_WPF_wg_przeplywow!D47</f>
        <v>0</v>
      </c>
      <c r="E43" s="65">
        <f>+Zal_1_WPF_wg_przeplywow!E47</f>
        <v>0</v>
      </c>
      <c r="F43" s="65">
        <f>+Zal_1_WPF_wg_przeplywow!F47</f>
        <v>0</v>
      </c>
      <c r="G43" s="65">
        <f>+Zal_1_WPF_wg_przeplywow!G47</f>
        <v>0</v>
      </c>
      <c r="H43" s="65">
        <f>+Zal_1_WPF_wg_przeplywow!H47</f>
        <v>0</v>
      </c>
      <c r="I43" s="65">
        <f>+Zal_1_WPF_wg_przeplywow!I47</f>
        <v>0</v>
      </c>
      <c r="J43" s="65">
        <f>+Zal_1_WPF_wg_przeplywow!J47</f>
        <v>0</v>
      </c>
      <c r="K43" s="65">
        <f>+Zal_1_WPF_wg_przeplywow!K47</f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</row>
    <row r="44" spans="1:11" ht="14.25">
      <c r="A44" s="39" t="s">
        <v>13</v>
      </c>
      <c r="B44" s="40" t="s">
        <v>66</v>
      </c>
      <c r="C44" s="34">
        <f>+Zal_1_WPF_wg_przeplywow!C48</f>
        <v>0</v>
      </c>
      <c r="D44" s="34">
        <f>+Zal_1_WPF_wg_przeplywow!D48</f>
        <v>0</v>
      </c>
      <c r="E44" s="34">
        <f>+Zal_1_WPF_wg_przeplywow!E48</f>
        <v>0</v>
      </c>
      <c r="F44" s="34">
        <f>+Zal_1_WPF_wg_przeplywow!F48</f>
        <v>0</v>
      </c>
      <c r="G44" s="34">
        <f>+Zal_1_WPF_wg_przeplywow!G48</f>
        <v>0</v>
      </c>
      <c r="H44" s="34">
        <f>+Zal_1_WPF_wg_przeplywow!H48</f>
        <v>0</v>
      </c>
      <c r="I44" s="34">
        <f>+Zal_1_WPF_wg_przeplywow!I48</f>
        <v>0</v>
      </c>
      <c r="J44" s="34">
        <f>+Zal_1_WPF_wg_przeplywow!J48</f>
        <v>0</v>
      </c>
      <c r="K44" s="34">
        <f>+Zal_1_WPF_wg_przeplywow!K48</f>
        <v>0</v>
      </c>
    </row>
    <row r="45" spans="1:11" ht="14.25">
      <c r="A45" s="43" t="s">
        <v>15</v>
      </c>
      <c r="B45" s="66" t="s">
        <v>67</v>
      </c>
      <c r="C45" s="67">
        <f>+Zal_1_WPF_wg_przeplywow!C59</f>
        <v>0.2102</v>
      </c>
      <c r="D45" s="67">
        <f>+Zal_1_WPF_wg_przeplywow!D59</f>
        <v>0.2189</v>
      </c>
      <c r="E45" s="67">
        <f>+Zal_1_WPF_wg_przeplywow!E59</f>
        <v>0.1869</v>
      </c>
      <c r="F45" s="67">
        <f>+Zal_1_WPF_wg_przeplywow!F59</f>
        <v>0.1511</v>
      </c>
      <c r="G45" s="67">
        <f>+Zal_1_WPF_wg_przeplywow!G59</f>
        <v>0.1135</v>
      </c>
      <c r="H45" s="67">
        <f>+Zal_1_WPF_wg_przeplywow!H59</f>
        <v>0.0718</v>
      </c>
      <c r="I45" s="67">
        <f>+Zal_1_WPF_wg_przeplywow!I59</f>
        <v>0.045</v>
      </c>
      <c r="J45" s="67">
        <f>+Zal_1_WPF_wg_przeplywow!J59</f>
        <v>0.0193</v>
      </c>
      <c r="K45" s="67">
        <f>+Zal_1_WPF_wg_przeplywow!K59</f>
        <v>0</v>
      </c>
    </row>
    <row r="46" spans="1:11" ht="24" outlineLevel="1">
      <c r="A46" s="51" t="s">
        <v>68</v>
      </c>
      <c r="B46" s="56" t="s">
        <v>69</v>
      </c>
      <c r="C46" s="57">
        <f>+Zal_1_WPF_wg_przeplywow!C60</f>
        <v>0.2102</v>
      </c>
      <c r="D46" s="57">
        <f>+Zal_1_WPF_wg_przeplywow!D60</f>
        <v>0.2189</v>
      </c>
      <c r="E46" s="57">
        <f>+Zal_1_WPF_wg_przeplywow!E60</f>
        <v>0.1869</v>
      </c>
      <c r="F46" s="57">
        <f>+Zal_1_WPF_wg_przeplywow!F60</f>
        <v>0.1511</v>
      </c>
      <c r="G46" s="57">
        <f>+Zal_1_WPF_wg_przeplywow!G60</f>
        <v>0.1135</v>
      </c>
      <c r="H46" s="57">
        <f>+Zal_1_WPF_wg_przeplywow!H60</f>
        <v>0.0718</v>
      </c>
      <c r="I46" s="57">
        <f>+Zal_1_WPF_wg_przeplywow!I60</f>
        <v>0.045</v>
      </c>
      <c r="J46" s="57">
        <f>+Zal_1_WPF_wg_przeplywow!J60</f>
        <v>0.0193</v>
      </c>
      <c r="K46" s="57">
        <f>+Zal_1_WPF_wg_przeplywow!K60</f>
        <v>0</v>
      </c>
    </row>
    <row r="47" spans="1:11" ht="24" outlineLevel="1">
      <c r="A47" s="51" t="s">
        <v>16</v>
      </c>
      <c r="B47" s="56" t="s">
        <v>70</v>
      </c>
      <c r="C47" s="57">
        <f>+Zal_1_WPF_wg_przeplywow!C61</f>
        <v>0.0387</v>
      </c>
      <c r="D47" s="57">
        <f>+Zal_1_WPF_wg_przeplywow!D61</f>
        <v>0.0464</v>
      </c>
      <c r="E47" s="57">
        <f>+Zal_1_WPF_wg_przeplywow!E61</f>
        <v>0.0495</v>
      </c>
      <c r="F47" s="57">
        <f>+Zal_1_WPF_wg_przeplywow!F61</f>
        <v>0.0458</v>
      </c>
      <c r="G47" s="57">
        <f>+Zal_1_WPF_wg_przeplywow!G61</f>
        <v>0.0457</v>
      </c>
      <c r="H47" s="57">
        <f>+Zal_1_WPF_wg_przeplywow!H61</f>
        <v>0.0494</v>
      </c>
      <c r="I47" s="57">
        <f>+Zal_1_WPF_wg_przeplywow!I61</f>
        <v>0.0319</v>
      </c>
      <c r="J47" s="57">
        <f>+Zal_1_WPF_wg_przeplywow!J61</f>
        <v>0.0292</v>
      </c>
      <c r="K47" s="57">
        <f>+Zal_1_WPF_wg_przeplywow!K61</f>
        <v>0.0213</v>
      </c>
    </row>
    <row r="48" spans="1:11" ht="24" outlineLevel="1">
      <c r="A48" s="64" t="s">
        <v>71</v>
      </c>
      <c r="B48" s="68" t="s">
        <v>72</v>
      </c>
      <c r="C48" s="69">
        <f>+Zal_1_WPF_wg_przeplywow!C62</f>
        <v>0.0387</v>
      </c>
      <c r="D48" s="69">
        <f>+Zal_1_WPF_wg_przeplywow!D62</f>
        <v>0.0464</v>
      </c>
      <c r="E48" s="69">
        <f>+Zal_1_WPF_wg_przeplywow!E62</f>
        <v>0.0495</v>
      </c>
      <c r="F48" s="69">
        <f>+Zal_1_WPF_wg_przeplywow!F62</f>
        <v>0.0458</v>
      </c>
      <c r="G48" s="69">
        <f>+Zal_1_WPF_wg_przeplywow!G62</f>
        <v>0.0457</v>
      </c>
      <c r="H48" s="69">
        <f>+Zal_1_WPF_wg_przeplywow!H62</f>
        <v>0.0494</v>
      </c>
      <c r="I48" s="69">
        <f>+Zal_1_WPF_wg_przeplywow!I62</f>
        <v>0.0319</v>
      </c>
      <c r="J48" s="69">
        <f>+Zal_1_WPF_wg_przeplywow!J62</f>
        <v>0.0292</v>
      </c>
      <c r="K48" s="69">
        <f>+Zal_1_WPF_wg_przeplywow!K62</f>
        <v>0.0213</v>
      </c>
    </row>
    <row r="49" spans="1:11" ht="36">
      <c r="A49" s="39" t="s">
        <v>18</v>
      </c>
      <c r="B49" s="40" t="s">
        <v>137</v>
      </c>
      <c r="C49" s="35">
        <f>+Zal_1_WPF_wg_przeplywow!C49</f>
        <v>0</v>
      </c>
      <c r="D49" s="35">
        <f>+Zal_1_WPF_wg_przeplywow!D49</f>
        <v>0</v>
      </c>
      <c r="E49" s="35">
        <f>+Zal_1_WPF_wg_przeplywow!E49</f>
        <v>0</v>
      </c>
      <c r="F49" s="35">
        <f>+Zal_1_WPF_wg_przeplywow!F49</f>
        <v>0</v>
      </c>
      <c r="G49" s="35">
        <f>+Zal_1_WPF_wg_przeplywow!G49</f>
        <v>0</v>
      </c>
      <c r="H49" s="35">
        <f>+Zal_1_WPF_wg_przeplywow!H49</f>
        <v>0</v>
      </c>
      <c r="I49" s="35">
        <f>+Zal_1_WPF_wg_przeplywow!I49</f>
        <v>0</v>
      </c>
      <c r="J49" s="35">
        <f>+Zal_1_WPF_wg_przeplywow!J49</f>
        <v>0</v>
      </c>
      <c r="K49" s="35">
        <f>+Zal_1_WPF_wg_przeplywow!K49</f>
        <v>0</v>
      </c>
    </row>
    <row r="50" spans="1:11" ht="14.25" outlineLevel="1">
      <c r="A50" s="51"/>
      <c r="B50" s="58" t="s">
        <v>54</v>
      </c>
      <c r="C50" s="57">
        <f>+Zal_1_WPF_wg_przeplywow!C63</f>
        <v>0.0467</v>
      </c>
      <c r="D50" s="57">
        <f>+Zal_1_WPF_wg_przeplywow!D63</f>
        <v>0.05</v>
      </c>
      <c r="E50" s="57">
        <f>+Zal_1_WPF_wg_przeplywow!E63</f>
        <v>0.0467</v>
      </c>
      <c r="F50" s="57">
        <f>+Zal_1_WPF_wg_przeplywow!F63</f>
        <v>0.0458</v>
      </c>
      <c r="G50" s="57">
        <f>+Zal_1_WPF_wg_przeplywow!G63</f>
        <v>0.0571</v>
      </c>
      <c r="H50" s="57">
        <f>+Zal_1_WPF_wg_przeplywow!H63</f>
        <v>0.0565</v>
      </c>
      <c r="I50" s="57">
        <f>+Zal_1_WPF_wg_przeplywow!I63</f>
        <v>0.0614</v>
      </c>
      <c r="J50" s="57">
        <f>+Zal_1_WPF_wg_przeplywow!J63</f>
        <v>0.0639</v>
      </c>
      <c r="K50" s="57">
        <f>+Zal_1_WPF_wg_przeplywow!K63</f>
        <v>0.0517</v>
      </c>
    </row>
    <row r="51" spans="1:11" ht="24">
      <c r="A51" s="43" t="s">
        <v>19</v>
      </c>
      <c r="B51" s="66" t="s">
        <v>236</v>
      </c>
      <c r="C51" s="67">
        <f>+Zal_1_WPF_wg_przeplywow!C64</f>
        <v>0.1085</v>
      </c>
      <c r="D51" s="67">
        <f>+Zal_1_WPF_wg_przeplywow!D64</f>
        <v>0.0733</v>
      </c>
      <c r="E51" s="67">
        <f>+Zal_1_WPF_wg_przeplywow!E64</f>
        <v>0.0515</v>
      </c>
      <c r="F51" s="67">
        <f>+Zal_1_WPF_wg_przeplywow!F64</f>
        <v>0.0478</v>
      </c>
      <c r="G51" s="67">
        <f>+Zal_1_WPF_wg_przeplywow!G64</f>
        <v>0.0475</v>
      </c>
      <c r="H51" s="67">
        <f>+Zal_1_WPF_wg_przeplywow!H64</f>
        <v>0.0499</v>
      </c>
      <c r="I51" s="67">
        <f>+Zal_1_WPF_wg_przeplywow!I64</f>
        <v>0.0531</v>
      </c>
      <c r="J51" s="67">
        <f>+Zal_1_WPF_wg_przeplywow!J64</f>
        <v>0.0583</v>
      </c>
      <c r="K51" s="67">
        <f>+Zal_1_WPF_wg_przeplywow!K64</f>
        <v>0.0606</v>
      </c>
    </row>
    <row r="52" spans="1:11" ht="24" outlineLevel="1">
      <c r="A52" s="205"/>
      <c r="B52" s="268" t="s">
        <v>376</v>
      </c>
      <c r="C52" s="206">
        <f>+Zal_1_WPF_wg_przeplywow!C65</f>
        <v>0.1162</v>
      </c>
      <c r="D52" s="206">
        <f>+Zal_1_WPF_wg_przeplywow!D65</f>
        <v>0.081</v>
      </c>
      <c r="E52" s="206">
        <f>+Zal_1_WPF_wg_przeplywow!E65</f>
        <v>0.0591</v>
      </c>
      <c r="F52" s="206">
        <f>+Zal_1_WPF_wg_przeplywow!F65</f>
        <v>0.0478</v>
      </c>
      <c r="G52" s="206">
        <f>+Zal_1_WPF_wg_przeplywow!G65</f>
        <v>0.0475</v>
      </c>
      <c r="H52" s="206">
        <f>+Zal_1_WPF_wg_przeplywow!H65</f>
        <v>0.0499</v>
      </c>
      <c r="I52" s="206">
        <f>+Zal_1_WPF_wg_przeplywow!I65</f>
        <v>0.0531</v>
      </c>
      <c r="J52" s="206">
        <f>+Zal_1_WPF_wg_przeplywow!J65</f>
        <v>0.0583</v>
      </c>
      <c r="K52" s="206">
        <f>+Zal_1_WPF_wg_przeplywow!K65</f>
        <v>0.0606</v>
      </c>
    </row>
    <row r="53" spans="1:11" ht="24" outlineLevel="1">
      <c r="A53" s="51" t="s">
        <v>20</v>
      </c>
      <c r="B53" s="56" t="s">
        <v>53</v>
      </c>
      <c r="C53" s="57">
        <f>+Zal_1_WPF_wg_przeplywow!C66</f>
        <v>0.0387</v>
      </c>
      <c r="D53" s="57">
        <f>+Zal_1_WPF_wg_przeplywow!D66</f>
        <v>0.0464</v>
      </c>
      <c r="E53" s="57">
        <f>+Zal_1_WPF_wg_przeplywow!E66</f>
        <v>0.0495</v>
      </c>
      <c r="F53" s="57">
        <f>+Zal_1_WPF_wg_przeplywow!F66</f>
        <v>0.0458</v>
      </c>
      <c r="G53" s="57">
        <f>+Zal_1_WPF_wg_przeplywow!G66</f>
        <v>0.0457</v>
      </c>
      <c r="H53" s="57">
        <f>+Zal_1_WPF_wg_przeplywow!H66</f>
        <v>0.0494</v>
      </c>
      <c r="I53" s="57">
        <f>+Zal_1_WPF_wg_przeplywow!I66</f>
        <v>0.0319</v>
      </c>
      <c r="J53" s="57">
        <f>+Zal_1_WPF_wg_przeplywow!J66</f>
        <v>0.0292</v>
      </c>
      <c r="K53" s="57">
        <f>+Zal_1_WPF_wg_przeplywow!K66</f>
        <v>0.0213</v>
      </c>
    </row>
    <row r="54" spans="1:11" ht="24" outlineLevel="1">
      <c r="A54" s="51" t="s">
        <v>73</v>
      </c>
      <c r="B54" s="56" t="s">
        <v>74</v>
      </c>
      <c r="C54" s="59" t="str">
        <f>IF(C$53&lt;=C$51,"Spełnia","Nie spełnia")</f>
        <v>Spełnia</v>
      </c>
      <c r="D54" s="59" t="str">
        <f aca="true" t="shared" si="1" ref="D54:K54">IF(D$53&lt;=D$51,"Spełnia","Nie spełnia")</f>
        <v>Spełnia</v>
      </c>
      <c r="E54" s="59" t="str">
        <f t="shared" si="1"/>
        <v>Spełnia</v>
      </c>
      <c r="F54" s="59" t="str">
        <f t="shared" si="1"/>
        <v>Spełnia</v>
      </c>
      <c r="G54" s="59" t="str">
        <f t="shared" si="1"/>
        <v>Spełnia</v>
      </c>
      <c r="H54" s="59" t="str">
        <f t="shared" si="1"/>
        <v>Spełnia</v>
      </c>
      <c r="I54" s="59" t="str">
        <f t="shared" si="1"/>
        <v>Spełnia</v>
      </c>
      <c r="J54" s="59" t="str">
        <f t="shared" si="1"/>
        <v>Spełnia</v>
      </c>
      <c r="K54" s="59" t="str">
        <f t="shared" si="1"/>
        <v>Spełnia</v>
      </c>
    </row>
    <row r="55" spans="1:11" ht="24" outlineLevel="1">
      <c r="A55" s="51" t="s">
        <v>214</v>
      </c>
      <c r="B55" s="56" t="s">
        <v>233</v>
      </c>
      <c r="C55" s="59" t="str">
        <f>IF(C$53&lt;=C$52,"Spełnia","Nie spełnia")</f>
        <v>Spełnia</v>
      </c>
      <c r="D55" s="59" t="str">
        <f aca="true" t="shared" si="2" ref="D55:K55">IF(D$53&lt;=D$52,"Spełnia","Nie spełnia")</f>
        <v>Spełnia</v>
      </c>
      <c r="E55" s="59" t="str">
        <f t="shared" si="2"/>
        <v>Spełnia</v>
      </c>
      <c r="F55" s="59" t="str">
        <f t="shared" si="2"/>
        <v>Spełnia</v>
      </c>
      <c r="G55" s="59" t="str">
        <f t="shared" si="2"/>
        <v>Spełnia</v>
      </c>
      <c r="H55" s="59" t="str">
        <f t="shared" si="2"/>
        <v>Spełnia</v>
      </c>
      <c r="I55" s="59" t="str">
        <f t="shared" si="2"/>
        <v>Spełnia</v>
      </c>
      <c r="J55" s="59" t="str">
        <f t="shared" si="2"/>
        <v>Spełnia</v>
      </c>
      <c r="K55" s="59" t="str">
        <f t="shared" si="2"/>
        <v>Spełnia</v>
      </c>
    </row>
    <row r="56" spans="1:11" ht="24" outlineLevel="1">
      <c r="A56" s="51" t="s">
        <v>21</v>
      </c>
      <c r="B56" s="56" t="s">
        <v>75</v>
      </c>
      <c r="C56" s="57">
        <f>+Zal_1_WPF_wg_przeplywow!C69</f>
        <v>0.0387</v>
      </c>
      <c r="D56" s="57">
        <f>+Zal_1_WPF_wg_przeplywow!D69</f>
        <v>0.0464</v>
      </c>
      <c r="E56" s="57">
        <f>+Zal_1_WPF_wg_przeplywow!E69</f>
        <v>0.0495</v>
      </c>
      <c r="F56" s="57">
        <f>+Zal_1_WPF_wg_przeplywow!F69</f>
        <v>0.0458</v>
      </c>
      <c r="G56" s="57">
        <f>+Zal_1_WPF_wg_przeplywow!G69</f>
        <v>0.0457</v>
      </c>
      <c r="H56" s="57">
        <f>+Zal_1_WPF_wg_przeplywow!H69</f>
        <v>0.0494</v>
      </c>
      <c r="I56" s="57">
        <f>+Zal_1_WPF_wg_przeplywow!I69</f>
        <v>0.0319</v>
      </c>
      <c r="J56" s="57">
        <f>+Zal_1_WPF_wg_przeplywow!J69</f>
        <v>0.0292</v>
      </c>
      <c r="K56" s="57">
        <f>+Zal_1_WPF_wg_przeplywow!K69</f>
        <v>0.0213</v>
      </c>
    </row>
    <row r="57" spans="1:11" ht="24" outlineLevel="1">
      <c r="A57" s="64" t="s">
        <v>76</v>
      </c>
      <c r="B57" s="68" t="s">
        <v>77</v>
      </c>
      <c r="C57" s="59" t="str">
        <f>+IF(C56&lt;=C51,"Spełnia","Nie spełnia")</f>
        <v>Spełnia</v>
      </c>
      <c r="D57" s="59" t="str">
        <f aca="true" t="shared" si="3" ref="D57:K57">+IF(D56&lt;=D51,"Spełnia","Nie spełnia")</f>
        <v>Spełnia</v>
      </c>
      <c r="E57" s="59" t="str">
        <f t="shared" si="3"/>
        <v>Spełnia</v>
      </c>
      <c r="F57" s="59" t="str">
        <f t="shared" si="3"/>
        <v>Spełnia</v>
      </c>
      <c r="G57" s="59" t="str">
        <f t="shared" si="3"/>
        <v>Spełnia</v>
      </c>
      <c r="H57" s="59" t="str">
        <f t="shared" si="3"/>
        <v>Spełnia</v>
      </c>
      <c r="I57" s="59" t="str">
        <f t="shared" si="3"/>
        <v>Spełnia</v>
      </c>
      <c r="J57" s="59" t="str">
        <f t="shared" si="3"/>
        <v>Spełnia</v>
      </c>
      <c r="K57" s="59" t="str">
        <f t="shared" si="3"/>
        <v>Spełnia</v>
      </c>
    </row>
    <row r="58" spans="1:11" ht="24" outlineLevel="1">
      <c r="A58" s="64" t="s">
        <v>215</v>
      </c>
      <c r="B58" s="68" t="s">
        <v>232</v>
      </c>
      <c r="C58" s="59" t="str">
        <f>+IF(C56&lt;=C52,"Spełnia","Nie spełnia")</f>
        <v>Spełnia</v>
      </c>
      <c r="D58" s="59" t="str">
        <f aca="true" t="shared" si="4" ref="D58:K58">+IF(D56&lt;=D52,"Spełnia","Nie spełnia")</f>
        <v>Spełnia</v>
      </c>
      <c r="E58" s="59" t="str">
        <f t="shared" si="4"/>
        <v>Spełnia</v>
      </c>
      <c r="F58" s="59" t="str">
        <f t="shared" si="4"/>
        <v>Spełnia</v>
      </c>
      <c r="G58" s="59" t="str">
        <f t="shared" si="4"/>
        <v>Spełnia</v>
      </c>
      <c r="H58" s="59" t="str">
        <f t="shared" si="4"/>
        <v>Spełnia</v>
      </c>
      <c r="I58" s="59" t="str">
        <f t="shared" si="4"/>
        <v>Spełnia</v>
      </c>
      <c r="J58" s="59" t="str">
        <f t="shared" si="4"/>
        <v>Spełnia</v>
      </c>
      <c r="K58" s="59" t="str">
        <f t="shared" si="4"/>
        <v>Spełnia</v>
      </c>
    </row>
    <row r="59" spans="1:11" ht="14.25">
      <c r="A59" s="43" t="s">
        <v>22</v>
      </c>
      <c r="B59" s="44" t="s">
        <v>78</v>
      </c>
      <c r="C59" s="241" t="s">
        <v>171</v>
      </c>
      <c r="D59" s="241" t="s">
        <v>171</v>
      </c>
      <c r="E59" s="241" t="s">
        <v>171</v>
      </c>
      <c r="F59" s="241" t="s">
        <v>171</v>
      </c>
      <c r="G59" s="241" t="s">
        <v>171</v>
      </c>
      <c r="H59" s="241" t="s">
        <v>171</v>
      </c>
      <c r="I59" s="241" t="s">
        <v>171</v>
      </c>
      <c r="J59" s="241" t="s">
        <v>171</v>
      </c>
      <c r="K59" s="241" t="s">
        <v>171</v>
      </c>
    </row>
    <row r="60" spans="1:11" ht="14.25" outlineLevel="1">
      <c r="A60" s="46"/>
      <c r="B60" s="47" t="s">
        <v>4</v>
      </c>
      <c r="C60" s="48">
        <f>+Zal_1_WPF_wg_przeplywow!C16</f>
        <v>0</v>
      </c>
      <c r="D60" s="48">
        <f>+Zal_1_WPF_wg_przeplywow!D16</f>
        <v>0</v>
      </c>
      <c r="E60" s="48">
        <f>+Zal_1_WPF_wg_przeplywow!E16</f>
        <v>0</v>
      </c>
      <c r="F60" s="48">
        <f>+Zal_1_WPF_wg_przeplywow!F16</f>
        <v>0</v>
      </c>
      <c r="G60" s="48">
        <f>+Zal_1_WPF_wg_przeplywow!G16</f>
        <v>0</v>
      </c>
      <c r="H60" s="48">
        <f>+Zal_1_WPF_wg_przeplywow!H16</f>
        <v>0</v>
      </c>
      <c r="I60" s="48">
        <f>+Zal_1_WPF_wg_przeplywow!I16</f>
        <v>0</v>
      </c>
      <c r="J60" s="48">
        <f>+Zal_1_WPF_wg_przeplywow!J16</f>
        <v>0</v>
      </c>
      <c r="K60" s="48">
        <f>+Zal_1_WPF_wg_przeplywow!K16</f>
        <v>0</v>
      </c>
    </row>
    <row r="61" spans="1:11" ht="14.25" outlineLevel="1">
      <c r="A61" s="46"/>
      <c r="B61" s="47" t="s">
        <v>5</v>
      </c>
      <c r="C61" s="48">
        <f>+Zal_1_WPF_wg_przeplywow!C17</f>
        <v>0</v>
      </c>
      <c r="D61" s="48">
        <f>+Zal_1_WPF_wg_przeplywow!D17</f>
        <v>0</v>
      </c>
      <c r="E61" s="48">
        <f>+Zal_1_WPF_wg_przeplywow!E17</f>
        <v>0</v>
      </c>
      <c r="F61" s="48">
        <f>+Zal_1_WPF_wg_przeplywow!F17</f>
        <v>0</v>
      </c>
      <c r="G61" s="48">
        <f>+Zal_1_WPF_wg_przeplywow!G17</f>
        <v>0</v>
      </c>
      <c r="H61" s="48">
        <f>+Zal_1_WPF_wg_przeplywow!H17</f>
        <v>0</v>
      </c>
      <c r="I61" s="48">
        <f>+Zal_1_WPF_wg_przeplywow!I17</f>
        <v>0</v>
      </c>
      <c r="J61" s="48">
        <f>+Zal_1_WPF_wg_przeplywow!J17</f>
        <v>0</v>
      </c>
      <c r="K61" s="48">
        <f>+Zal_1_WPF_wg_przeplywow!K17</f>
        <v>0</v>
      </c>
    </row>
    <row r="62" spans="1:11" ht="14.25" outlineLevel="1">
      <c r="A62" s="46"/>
      <c r="B62" s="47" t="s">
        <v>79</v>
      </c>
      <c r="C62" s="48">
        <f>+Zal_1_WPF_wg_przeplywow!C21</f>
        <v>180044</v>
      </c>
      <c r="D62" s="48">
        <f>+Zal_1_WPF_wg_przeplywow!D21</f>
        <v>0</v>
      </c>
      <c r="E62" s="48">
        <f>+Zal_1_WPF_wg_przeplywow!E21</f>
        <v>0</v>
      </c>
      <c r="F62" s="48">
        <f>+Zal_1_WPF_wg_przeplywow!F21</f>
        <v>0</v>
      </c>
      <c r="G62" s="48">
        <f>+Zal_1_WPF_wg_przeplywow!G21</f>
        <v>0</v>
      </c>
      <c r="H62" s="48">
        <f>+Zal_1_WPF_wg_przeplywow!H21</f>
        <v>0</v>
      </c>
      <c r="I62" s="48">
        <f>+Zal_1_WPF_wg_przeplywow!I21</f>
        <v>0</v>
      </c>
      <c r="J62" s="48">
        <f>+Zal_1_WPF_wg_przeplywow!J21</f>
        <v>0</v>
      </c>
      <c r="K62" s="48">
        <f>+Zal_1_WPF_wg_przeplywow!K21</f>
        <v>0</v>
      </c>
    </row>
    <row r="63" spans="1:11" ht="14.25" outlineLevel="1">
      <c r="A63" s="60"/>
      <c r="B63" s="61" t="s">
        <v>80</v>
      </c>
      <c r="C63" s="62">
        <f>+Zal_1_WPF_wg_przeplywow!C40</f>
        <v>1820000</v>
      </c>
      <c r="D63" s="62">
        <f>+Zal_1_WPF_wg_przeplywow!D40</f>
        <v>2020000</v>
      </c>
      <c r="E63" s="62">
        <f>+Zal_1_WPF_wg_przeplywow!E40</f>
        <v>0</v>
      </c>
      <c r="F63" s="62">
        <f>+Zal_1_WPF_wg_przeplywow!F40</f>
        <v>0</v>
      </c>
      <c r="G63" s="62">
        <f>+Zal_1_WPF_wg_przeplywow!G40</f>
        <v>0</v>
      </c>
      <c r="H63" s="62">
        <f>+Zal_1_WPF_wg_przeplywow!H40</f>
        <v>0</v>
      </c>
      <c r="I63" s="62">
        <f>+Zal_1_WPF_wg_przeplywow!I40</f>
        <v>0</v>
      </c>
      <c r="J63" s="62">
        <f>+Zal_1_WPF_wg_przeplywow!J40</f>
        <v>0</v>
      </c>
      <c r="K63" s="62">
        <f>+Zal_1_WPF_wg_przeplywow!K40</f>
        <v>0</v>
      </c>
    </row>
    <row r="64" spans="1:11" ht="24">
      <c r="A64" s="41" t="s">
        <v>23</v>
      </c>
      <c r="B64" s="42" t="s">
        <v>160</v>
      </c>
      <c r="C64" s="35">
        <f>+Zal_1_WPF_wg_przeplywow!C50</f>
        <v>0</v>
      </c>
      <c r="D64" s="35">
        <f>+Zal_1_WPF_wg_przeplywow!D50</f>
        <v>0</v>
      </c>
      <c r="E64" s="35">
        <f>+Zal_1_WPF_wg_przeplywow!E50</f>
        <v>790000</v>
      </c>
      <c r="F64" s="35">
        <f>+Zal_1_WPF_wg_przeplywow!F50</f>
        <v>770000</v>
      </c>
      <c r="G64" s="35">
        <f>+Zal_1_WPF_wg_przeplywow!G50</f>
        <v>850000</v>
      </c>
      <c r="H64" s="35">
        <f>+Zal_1_WPF_wg_przeplywow!H50</f>
        <v>1000000</v>
      </c>
      <c r="I64" s="35">
        <f>+Zal_1_WPF_wg_przeplywow!I50</f>
        <v>650000</v>
      </c>
      <c r="J64" s="35">
        <f>+Zal_1_WPF_wg_przeplywow!J50</f>
        <v>640000</v>
      </c>
      <c r="K64" s="35">
        <f>+Zal_1_WPF_wg_przeplywow!K50</f>
        <v>490000</v>
      </c>
    </row>
    <row r="65" spans="1:11" ht="14.25">
      <c r="A65" s="43" t="s">
        <v>24</v>
      </c>
      <c r="B65" s="44" t="s">
        <v>87</v>
      </c>
      <c r="C65" s="70">
        <f>+Zal_1_WPF_wg_przeplywow!C51</f>
        <v>0</v>
      </c>
      <c r="D65" s="70">
        <f>+Zal_1_WPF_wg_przeplywow!D51</f>
        <v>0</v>
      </c>
      <c r="E65" s="70">
        <f>+Zal_1_WPF_wg_przeplywow!E51</f>
        <v>0</v>
      </c>
      <c r="F65" s="70">
        <f>+Zal_1_WPF_wg_przeplywow!F51</f>
        <v>0</v>
      </c>
      <c r="G65" s="70">
        <f>+Zal_1_WPF_wg_przeplywow!G51</f>
        <v>0</v>
      </c>
      <c r="H65" s="70">
        <f>+Zal_1_WPF_wg_przeplywow!H51</f>
        <v>0</v>
      </c>
      <c r="I65" s="70">
        <f>+Zal_1_WPF_wg_przeplywow!I51</f>
        <v>0</v>
      </c>
      <c r="J65" s="70">
        <f>+Zal_1_WPF_wg_przeplywow!J51</f>
        <v>0</v>
      </c>
      <c r="K65" s="70">
        <f>+Zal_1_WPF_wg_przeplywow!K51</f>
        <v>0</v>
      </c>
    </row>
    <row r="66" spans="1:11" ht="24" outlineLevel="1">
      <c r="A66" s="60"/>
      <c r="B66" s="61" t="s">
        <v>88</v>
      </c>
      <c r="C66" s="62">
        <f>+Zal_1_WPF_wg_przeplywow!C52</f>
        <v>0</v>
      </c>
      <c r="D66" s="62">
        <f>+Zal_1_WPF_wg_przeplywow!D52</f>
        <v>0</v>
      </c>
      <c r="E66" s="62">
        <f>+Zal_1_WPF_wg_przeplywow!E52</f>
        <v>0</v>
      </c>
      <c r="F66" s="62">
        <f>+Zal_1_WPF_wg_przeplywow!F52</f>
        <v>0</v>
      </c>
      <c r="G66" s="62">
        <f>+Zal_1_WPF_wg_przeplywow!G52</f>
        <v>0</v>
      </c>
      <c r="H66" s="62">
        <f>+Zal_1_WPF_wg_przeplywow!H52</f>
        <v>0</v>
      </c>
      <c r="I66" s="62">
        <f>+Zal_1_WPF_wg_przeplywow!I52</f>
        <v>0</v>
      </c>
      <c r="J66" s="62">
        <f>+Zal_1_WPF_wg_przeplywow!J52</f>
        <v>0</v>
      </c>
      <c r="K66" s="62">
        <f>+Zal_1_WPF_wg_przeplywow!K52</f>
        <v>0</v>
      </c>
    </row>
    <row r="67" spans="1:11" s="184" customFormat="1" ht="24" outlineLevel="1">
      <c r="A67" s="43" t="s">
        <v>367</v>
      </c>
      <c r="B67" s="266" t="s">
        <v>278</v>
      </c>
      <c r="C67" s="70"/>
      <c r="D67" s="70"/>
      <c r="E67" s="70"/>
      <c r="F67" s="70"/>
      <c r="G67" s="70"/>
      <c r="H67" s="70"/>
      <c r="I67" s="70"/>
      <c r="J67" s="70"/>
      <c r="K67" s="70"/>
    </row>
    <row r="68" spans="1:11" s="184" customFormat="1" ht="24" outlineLevel="1">
      <c r="A68" s="46"/>
      <c r="B68" s="47" t="s">
        <v>279</v>
      </c>
      <c r="C68" s="48">
        <f>+Zal_1_WPF_wg_przeplywow!C54</f>
        <v>0</v>
      </c>
      <c r="D68" s="48">
        <f>+Zal_1_WPF_wg_przeplywow!D54</f>
        <v>0</v>
      </c>
      <c r="E68" s="48">
        <f>+Zal_1_WPF_wg_przeplywow!E54</f>
        <v>0</v>
      </c>
      <c r="F68" s="48">
        <f>+Zal_1_WPF_wg_przeplywow!F54</f>
        <v>0</v>
      </c>
      <c r="G68" s="48">
        <f>+Zal_1_WPF_wg_przeplywow!G54</f>
        <v>0</v>
      </c>
      <c r="H68" s="48">
        <f>+Zal_1_WPF_wg_przeplywow!H54</f>
        <v>0</v>
      </c>
      <c r="I68" s="48">
        <f>+Zal_1_WPF_wg_przeplywow!I54</f>
        <v>0</v>
      </c>
      <c r="J68" s="48">
        <f>+Zal_1_WPF_wg_przeplywow!J54</f>
        <v>0</v>
      </c>
      <c r="K68" s="48">
        <f>+Zal_1_WPF_wg_przeplywow!K54</f>
        <v>0</v>
      </c>
    </row>
    <row r="69" spans="1:11" s="184" customFormat="1" ht="24" outlineLevel="1">
      <c r="A69" s="46"/>
      <c r="B69" s="47" t="s">
        <v>280</v>
      </c>
      <c r="C69" s="48">
        <f>+Zal_1_WPF_wg_przeplywow!C55</f>
        <v>0</v>
      </c>
      <c r="D69" s="48">
        <f>+Zal_1_WPF_wg_przeplywow!D55</f>
        <v>0</v>
      </c>
      <c r="E69" s="48">
        <f>+Zal_1_WPF_wg_przeplywow!E55</f>
        <v>0</v>
      </c>
      <c r="F69" s="48">
        <f>+Zal_1_WPF_wg_przeplywow!F55</f>
        <v>0</v>
      </c>
      <c r="G69" s="48">
        <f>+Zal_1_WPF_wg_przeplywow!G55</f>
        <v>0</v>
      </c>
      <c r="H69" s="48">
        <f>+Zal_1_WPF_wg_przeplywow!H55</f>
        <v>0</v>
      </c>
      <c r="I69" s="48">
        <f>+Zal_1_WPF_wg_przeplywow!I55</f>
        <v>0</v>
      </c>
      <c r="J69" s="48">
        <f>+Zal_1_WPF_wg_przeplywow!J55</f>
        <v>0</v>
      </c>
      <c r="K69" s="48">
        <f>+Zal_1_WPF_wg_przeplywow!K55</f>
        <v>0</v>
      </c>
    </row>
    <row r="70" spans="1:11" s="184" customFormat="1" ht="24" outlineLevel="1">
      <c r="A70" s="46"/>
      <c r="B70" s="47" t="s">
        <v>281</v>
      </c>
      <c r="C70" s="48">
        <f>+Zal_1_WPF_wg_przeplywow!C56</f>
        <v>0</v>
      </c>
      <c r="D70" s="48">
        <f>+Zal_1_WPF_wg_przeplywow!D56</f>
        <v>0</v>
      </c>
      <c r="E70" s="48">
        <f>+Zal_1_WPF_wg_przeplywow!E56</f>
        <v>0</v>
      </c>
      <c r="F70" s="48">
        <f>+Zal_1_WPF_wg_przeplywow!F56</f>
        <v>0</v>
      </c>
      <c r="G70" s="48">
        <f>+Zal_1_WPF_wg_przeplywow!G56</f>
        <v>0</v>
      </c>
      <c r="H70" s="48">
        <f>+Zal_1_WPF_wg_przeplywow!H56</f>
        <v>0</v>
      </c>
      <c r="I70" s="48">
        <f>+Zal_1_WPF_wg_przeplywow!I56</f>
        <v>0</v>
      </c>
      <c r="J70" s="48">
        <f>+Zal_1_WPF_wg_przeplywow!J56</f>
        <v>0</v>
      </c>
      <c r="K70" s="48">
        <f>+Zal_1_WPF_wg_przeplywow!K56</f>
        <v>0</v>
      </c>
    </row>
    <row r="71" spans="1:11" s="184" customFormat="1" ht="24" outlineLevel="1">
      <c r="A71" s="46"/>
      <c r="B71" s="47" t="s">
        <v>282</v>
      </c>
      <c r="C71" s="48">
        <f>+Zal_1_WPF_wg_przeplywow!C57</f>
        <v>0</v>
      </c>
      <c r="D71" s="48">
        <f>+Zal_1_WPF_wg_przeplywow!D57</f>
        <v>0</v>
      </c>
      <c r="E71" s="48">
        <f>+Zal_1_WPF_wg_przeplywow!E57</f>
        <v>0</v>
      </c>
      <c r="F71" s="48">
        <f>+Zal_1_WPF_wg_przeplywow!F57</f>
        <v>0</v>
      </c>
      <c r="G71" s="48">
        <f>+Zal_1_WPF_wg_przeplywow!G57</f>
        <v>0</v>
      </c>
      <c r="H71" s="48">
        <f>+Zal_1_WPF_wg_przeplywow!H57</f>
        <v>0</v>
      </c>
      <c r="I71" s="48">
        <f>+Zal_1_WPF_wg_przeplywow!I57</f>
        <v>0</v>
      </c>
      <c r="J71" s="48">
        <f>+Zal_1_WPF_wg_przeplywow!J57</f>
        <v>0</v>
      </c>
      <c r="K71" s="48">
        <f>+Zal_1_WPF_wg_przeplywow!K57</f>
        <v>0</v>
      </c>
    </row>
    <row r="72" spans="1:11" s="184" customFormat="1" ht="36" outlineLevel="1">
      <c r="A72" s="60"/>
      <c r="B72" s="61" t="s">
        <v>283</v>
      </c>
      <c r="C72" s="62">
        <f>+Zal_1_WPF_wg_przeplywow!C58</f>
        <v>0</v>
      </c>
      <c r="D72" s="62">
        <f>+Zal_1_WPF_wg_przeplywow!D58</f>
        <v>0</v>
      </c>
      <c r="E72" s="62">
        <f>+Zal_1_WPF_wg_przeplywow!E58</f>
        <v>0</v>
      </c>
      <c r="F72" s="62">
        <f>+Zal_1_WPF_wg_przeplywow!F58</f>
        <v>0</v>
      </c>
      <c r="G72" s="62">
        <f>+Zal_1_WPF_wg_przeplywow!G58</f>
        <v>0</v>
      </c>
      <c r="H72" s="62">
        <f>+Zal_1_WPF_wg_przeplywow!H58</f>
        <v>0</v>
      </c>
      <c r="I72" s="62">
        <f>+Zal_1_WPF_wg_przeplywow!I58</f>
        <v>0</v>
      </c>
      <c r="J72" s="62">
        <f>+Zal_1_WPF_wg_przeplywow!J58</f>
        <v>0</v>
      </c>
      <c r="K72" s="62">
        <f>+Zal_1_WPF_wg_przeplywow!K58</f>
        <v>0</v>
      </c>
    </row>
    <row r="73" spans="1:233" s="2" customFormat="1" ht="14.25">
      <c r="A73" s="19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</row>
    <row r="74" spans="1:233" s="2" customFormat="1" ht="14.25">
      <c r="A74" s="19"/>
      <c r="B74" s="30" t="s">
        <v>84</v>
      </c>
      <c r="C74" s="21"/>
      <c r="D74" s="21"/>
      <c r="E74" s="21"/>
      <c r="F74" s="21"/>
      <c r="G74" s="21"/>
      <c r="H74" s="21"/>
      <c r="I74" s="21"/>
      <c r="J74" s="21"/>
      <c r="K74" s="2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</row>
    <row r="75" ht="14.25">
      <c r="B75" s="30" t="s">
        <v>133</v>
      </c>
    </row>
    <row r="76" ht="14.25">
      <c r="B76" s="30"/>
    </row>
    <row r="78" ht="15">
      <c r="B78" s="132" t="s">
        <v>152</v>
      </c>
    </row>
    <row r="79" ht="14.25" outlineLevel="1">
      <c r="B79" s="118" t="s">
        <v>156</v>
      </c>
    </row>
    <row r="80" ht="14.25" outlineLevel="1">
      <c r="B80" s="117" t="s">
        <v>157</v>
      </c>
    </row>
    <row r="81" ht="14.25" outlineLevel="1"/>
    <row r="82" spans="2:11" ht="14.25" outlineLevel="1">
      <c r="B82" s="119" t="s">
        <v>139</v>
      </c>
      <c r="C82" s="120" t="str">
        <f aca="true" t="shared" si="5" ref="C82:K82">IF(((C6+C30)-(C14+C38))=0,"OK.",+(C6+C30)-(C14+C38))</f>
        <v>OK.</v>
      </c>
      <c r="D82" s="120" t="str">
        <f t="shared" si="5"/>
        <v>OK.</v>
      </c>
      <c r="E82" s="120" t="str">
        <f t="shared" si="5"/>
        <v>OK.</v>
      </c>
      <c r="F82" s="120" t="str">
        <f t="shared" si="5"/>
        <v>OK.</v>
      </c>
      <c r="G82" s="120" t="str">
        <f t="shared" si="5"/>
        <v>OK.</v>
      </c>
      <c r="H82" s="120" t="str">
        <f t="shared" si="5"/>
        <v>OK.</v>
      </c>
      <c r="I82" s="120" t="str">
        <f t="shared" si="5"/>
        <v>OK.</v>
      </c>
      <c r="J82" s="120" t="str">
        <f t="shared" si="5"/>
        <v>OK.</v>
      </c>
      <c r="K82" s="120" t="str">
        <f t="shared" si="5"/>
        <v>OK.</v>
      </c>
    </row>
    <row r="83" spans="2:11" ht="14.25" outlineLevel="1">
      <c r="B83" s="173" t="s">
        <v>192</v>
      </c>
      <c r="C83" s="172" t="str">
        <f>IF(C47&lt;=15%,"OK.","Przekroczenie")</f>
        <v>OK.</v>
      </c>
      <c r="D83" s="172" t="str">
        <f>IF(D47&lt;=15%,"OK.","Przekroczenie")</f>
        <v>OK.</v>
      </c>
      <c r="E83" s="174" t="s">
        <v>171</v>
      </c>
      <c r="F83" s="174" t="s">
        <v>171</v>
      </c>
      <c r="G83" s="174" t="s">
        <v>171</v>
      </c>
      <c r="H83" s="174" t="s">
        <v>171</v>
      </c>
      <c r="I83" s="174" t="s">
        <v>171</v>
      </c>
      <c r="J83" s="174" t="s">
        <v>171</v>
      </c>
      <c r="K83" s="174" t="s">
        <v>171</v>
      </c>
    </row>
    <row r="84" spans="2:11" ht="14.25" outlineLevel="1">
      <c r="B84" s="173" t="s">
        <v>193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171</v>
      </c>
      <c r="F84" s="174" t="s">
        <v>171</v>
      </c>
      <c r="G84" s="174" t="s">
        <v>171</v>
      </c>
      <c r="H84" s="174" t="s">
        <v>171</v>
      </c>
      <c r="I84" s="174" t="s">
        <v>171</v>
      </c>
      <c r="J84" s="174" t="s">
        <v>171</v>
      </c>
      <c r="K84" s="174" t="s">
        <v>171</v>
      </c>
    </row>
    <row r="85" spans="2:11" ht="14.25" outlineLevel="1">
      <c r="B85" s="173" t="s">
        <v>190</v>
      </c>
      <c r="C85" s="172" t="str">
        <f>IF(C45&lt;=60%,"OK.","Przekroczenie")</f>
        <v>OK.</v>
      </c>
      <c r="D85" s="172" t="str">
        <f>IF(D45&lt;=60%,"OK.","Przekroczenie")</f>
        <v>OK.</v>
      </c>
      <c r="E85" s="174" t="s">
        <v>171</v>
      </c>
      <c r="F85" s="174" t="s">
        <v>171</v>
      </c>
      <c r="G85" s="174" t="s">
        <v>171</v>
      </c>
      <c r="H85" s="174" t="s">
        <v>171</v>
      </c>
      <c r="I85" s="174" t="s">
        <v>171</v>
      </c>
      <c r="J85" s="174" t="s">
        <v>171</v>
      </c>
      <c r="K85" s="174" t="s">
        <v>171</v>
      </c>
    </row>
    <row r="86" spans="2:11" ht="14.25" outlineLevel="1">
      <c r="B86" s="173" t="s">
        <v>194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171</v>
      </c>
      <c r="F86" s="174" t="s">
        <v>171</v>
      </c>
      <c r="G86" s="174" t="s">
        <v>171</v>
      </c>
      <c r="H86" s="174" t="s">
        <v>171</v>
      </c>
      <c r="I86" s="174" t="s">
        <v>171</v>
      </c>
      <c r="J86" s="174" t="s">
        <v>171</v>
      </c>
      <c r="K86" s="174" t="s">
        <v>171</v>
      </c>
    </row>
    <row r="87" spans="2:11" ht="33.75" outlineLevel="1">
      <c r="B87" s="173" t="s">
        <v>191</v>
      </c>
      <c r="C87" s="172" t="e">
        <f>IF((C7+#REF!+C33)&gt;=C15,"OK.",C7+C33+#REF!-C15)</f>
        <v>#REF!</v>
      </c>
      <c r="D87" s="172" t="e">
        <f>IF((D7+#REF!+D33)&gt;=D15,"OK.",D7+D33+#REF!-D15)</f>
        <v>#REF!</v>
      </c>
      <c r="E87" s="172" t="e">
        <f>IF((E7+#REF!+E33)&gt;=E15,"OK.",E7+E33+#REF!-E15)</f>
        <v>#REF!</v>
      </c>
      <c r="F87" s="172" t="e">
        <f>IF((F7+#REF!+F33)&gt;=F15,"OK.",F7+F33+#REF!-F15)</f>
        <v>#REF!</v>
      </c>
      <c r="G87" s="172" t="e">
        <f>IF((G7+#REF!+G33)&gt;=G15,"OK.",G7+G33+#REF!-G15)</f>
        <v>#REF!</v>
      </c>
      <c r="H87" s="172" t="e">
        <f>IF((H7+#REF!+H33)&gt;=H15,"OK.",H7+H33+#REF!-H15)</f>
        <v>#REF!</v>
      </c>
      <c r="I87" s="172" t="e">
        <f>IF((I7+#REF!+I33)&gt;=I15,"OK.",I7+I33+#REF!-I15)</f>
        <v>#REF!</v>
      </c>
      <c r="J87" s="172" t="e">
        <f>IF((J7+#REF!+J33)&gt;=J15,"OK.",J7+J33+#REF!-J15)</f>
        <v>#REF!</v>
      </c>
      <c r="K87" s="172" t="e">
        <f>IF((K7+#REF!+K33)&gt;=K15,"OK.",K7+K33+#REF!-K15)</f>
        <v>#REF!</v>
      </c>
    </row>
    <row r="88" spans="2:11" ht="22.5" outlineLevel="1">
      <c r="B88" s="122" t="s">
        <v>158</v>
      </c>
      <c r="C88" s="121" t="str">
        <f>+IF(C27&gt;0,IF((C37+C35+#REF!+C33)&gt;0,"Błąd","OK."),"nie dotyczy")</f>
        <v>nie dotyczy</v>
      </c>
      <c r="D88" s="121" t="str">
        <f>+IF(D27&gt;0,IF((D37+D35+#REF!+D33)&gt;0,"Błąd","OK."),"nie dotyczy")</f>
        <v>nie dotyczy</v>
      </c>
      <c r="E88" s="121" t="e">
        <f>+IF(E27&gt;0,IF((E37+E35+#REF!+E33)&gt;0,"Błąd","OK."),"nie dotyczy")</f>
        <v>#REF!</v>
      </c>
      <c r="F88" s="121" t="e">
        <f>+IF(F27&gt;0,IF((F37+F35+#REF!+F33)&gt;0,"Błąd","OK."),"nie dotyczy")</f>
        <v>#REF!</v>
      </c>
      <c r="G88" s="121" t="e">
        <f>+IF(G27&gt;0,IF((G37+G35+#REF!+G33)&gt;0,"Błąd","OK."),"nie dotyczy")</f>
        <v>#REF!</v>
      </c>
      <c r="H88" s="121" t="e">
        <f>+IF(H27&gt;0,IF((H37+H35+#REF!+H33)&gt;0,"Błąd","OK."),"nie dotyczy")</f>
        <v>#REF!</v>
      </c>
      <c r="I88" s="121" t="e">
        <f>+IF(I27&gt;0,IF((I37+I35+#REF!+I33)&gt;0,"Błąd","OK."),"nie dotyczy")</f>
        <v>#REF!</v>
      </c>
      <c r="J88" s="121" t="e">
        <f>+IF(J27&gt;0,IF((J37+J35+#REF!+J33)&gt;0,"Błąd","OK."),"nie dotyczy")</f>
        <v>#REF!</v>
      </c>
      <c r="K88" s="121" t="e">
        <f>+IF(K27&gt;0,IF((K37+K35+#REF!+K33)&gt;0,"Błąd","OK."),"nie dotyczy")</f>
        <v>#REF!</v>
      </c>
    </row>
    <row r="89" spans="2:11" ht="22.5" outlineLevel="1">
      <c r="B89" s="122" t="s">
        <v>143</v>
      </c>
      <c r="C89" s="121" t="e">
        <f>IF(C27&lt;=0,IF(ROUND((+C27+(#REF!+C33+C35+C37)),4)=0,"OK.",+C27+(#REF!+C33+C35+C37)),"nie dotyczy")</f>
        <v>#REF!</v>
      </c>
      <c r="D89" s="121" t="e">
        <f>IF(D27&lt;=0,IF(ROUND((+D27+(#REF!+D33+D35+D37)),4)=0,"OK.",+D27+(#REF!+D33+D35+D37)),"nie dotyczy")</f>
        <v>#REF!</v>
      </c>
      <c r="E89" s="121" t="str">
        <f>IF(E27&lt;=0,IF(ROUND((+E27+(#REF!+E33+E35+E37)),4)=0,"OK.",+E27+(#REF!+E33+E35+E37)),"nie dotyczy")</f>
        <v>nie dotyczy</v>
      </c>
      <c r="F89" s="121" t="str">
        <f>IF(F27&lt;=0,IF(ROUND((+F27+(#REF!+F33+F35+F37)),4)=0,"OK.",+F27+(#REF!+F33+F35+F37)),"nie dotyczy")</f>
        <v>nie dotyczy</v>
      </c>
      <c r="G89" s="121" t="str">
        <f>IF(G27&lt;=0,IF(ROUND((+G27+(#REF!+G33+G35+G37)),4)=0,"OK.",+G27+(#REF!+G33+G35+G37)),"nie dotyczy")</f>
        <v>nie dotyczy</v>
      </c>
      <c r="H89" s="121" t="str">
        <f>IF(H27&lt;=0,IF(ROUND((+H27+(#REF!+H33+H35+H37)),4)=0,"OK.",+H27+(#REF!+H33+H35+H37)),"nie dotyczy")</f>
        <v>nie dotyczy</v>
      </c>
      <c r="I89" s="121" t="str">
        <f>IF(I27&lt;=0,IF(ROUND((+I27+(#REF!+I33+I35+I37)),4)=0,"OK.",+I27+(#REF!+I33+I35+I37)),"nie dotyczy")</f>
        <v>nie dotyczy</v>
      </c>
      <c r="J89" s="121" t="str">
        <f>IF(J27&lt;=0,IF(ROUND((+J27+(#REF!+J33+J35+J37)),4)=0,"OK.",+J27+(#REF!+J33+J35+J37)),"nie dotyczy")</f>
        <v>nie dotyczy</v>
      </c>
      <c r="K89" s="121" t="str">
        <f>IF(K27&lt;=0,IF(ROUND((+K27+(#REF!+K33+K35+K37)),4)=0,"OK.",+K27+(#REF!+K33+K35+K37)),"nie dotyczy")</f>
        <v>nie dotyczy</v>
      </c>
    </row>
    <row r="90" spans="2:11" ht="24" outlineLevel="1">
      <c r="B90" s="123" t="s">
        <v>140</v>
      </c>
      <c r="C90" s="124"/>
      <c r="D90" s="124"/>
      <c r="E90" s="124"/>
      <c r="F90" s="124"/>
      <c r="G90" s="124"/>
      <c r="H90" s="124"/>
      <c r="I90" s="124"/>
      <c r="J90" s="124"/>
      <c r="K90" s="124"/>
    </row>
    <row r="91" spans="2:11" ht="14.25" outlineLevel="1">
      <c r="B91" s="125" t="s">
        <v>375</v>
      </c>
      <c r="C91" s="124" t="e">
        <f>+IF(C31&lt;#REF!,"Brak pokrycia","OK.")</f>
        <v>#REF!</v>
      </c>
      <c r="D91" s="124" t="e">
        <f>+IF(D31&lt;#REF!,"Brak pokrycia","OK.")</f>
        <v>#REF!</v>
      </c>
      <c r="E91" s="124" t="e">
        <f>+IF(E31&lt;#REF!,"Brak pokrycia","OK.")</f>
        <v>#REF!</v>
      </c>
      <c r="F91" s="124" t="e">
        <f>+IF(F31&lt;#REF!,"Brak pokrycia","OK.")</f>
        <v>#REF!</v>
      </c>
      <c r="G91" s="124" t="e">
        <f>+IF(G31&lt;#REF!,"Brak pokrycia","OK.")</f>
        <v>#REF!</v>
      </c>
      <c r="H91" s="124" t="e">
        <f>+IF(H31&lt;#REF!,"Brak pokrycia","OK.")</f>
        <v>#REF!</v>
      </c>
      <c r="I91" s="124" t="e">
        <f>+IF(I31&lt;#REF!,"Brak pokrycia","OK.")</f>
        <v>#REF!</v>
      </c>
      <c r="J91" s="124" t="e">
        <f>+IF(J31&lt;#REF!,"Brak pokrycia","OK.")</f>
        <v>#REF!</v>
      </c>
      <c r="K91" s="124" t="e">
        <f>+IF(K31&lt;#REF!,"Brak pokrycia","OK.")</f>
        <v>#REF!</v>
      </c>
    </row>
    <row r="92" spans="1:11" s="184" customFormat="1" ht="14.25" outlineLevel="1">
      <c r="A92" s="1"/>
      <c r="B92" s="125" t="s">
        <v>374</v>
      </c>
      <c r="C92" s="124" t="str">
        <f>+IF(C32&lt;C33,"Brak pokrycia","OK.")</f>
        <v>OK.</v>
      </c>
      <c r="D92" s="124" t="str">
        <f aca="true" t="shared" si="6" ref="D92:K92">+IF(D32&lt;D33,"Brak pokrycia","OK.")</f>
        <v>OK.</v>
      </c>
      <c r="E92" s="124" t="str">
        <f t="shared" si="6"/>
        <v>OK.</v>
      </c>
      <c r="F92" s="124" t="str">
        <f t="shared" si="6"/>
        <v>OK.</v>
      </c>
      <c r="G92" s="124" t="str">
        <f t="shared" si="6"/>
        <v>OK.</v>
      </c>
      <c r="H92" s="124" t="str">
        <f t="shared" si="6"/>
        <v>OK.</v>
      </c>
      <c r="I92" s="124" t="str">
        <f t="shared" si="6"/>
        <v>OK.</v>
      </c>
      <c r="J92" s="124" t="str">
        <f t="shared" si="6"/>
        <v>OK.</v>
      </c>
      <c r="K92" s="124" t="str">
        <f t="shared" si="6"/>
        <v>OK.</v>
      </c>
    </row>
    <row r="93" spans="2:11" ht="14.25" outlineLevel="1">
      <c r="B93" s="125" t="s">
        <v>142</v>
      </c>
      <c r="C93" s="124" t="str">
        <f aca="true" t="shared" si="7" ref="C93:K93">+IF(C34&lt;C35,"Brak pokrycia","OK.")</f>
        <v>OK.</v>
      </c>
      <c r="D93" s="124" t="str">
        <f t="shared" si="7"/>
        <v>OK.</v>
      </c>
      <c r="E93" s="124" t="str">
        <f t="shared" si="7"/>
        <v>OK.</v>
      </c>
      <c r="F93" s="124" t="str">
        <f t="shared" si="7"/>
        <v>OK.</v>
      </c>
      <c r="G93" s="124" t="str">
        <f t="shared" si="7"/>
        <v>OK.</v>
      </c>
      <c r="H93" s="124" t="str">
        <f t="shared" si="7"/>
        <v>OK.</v>
      </c>
      <c r="I93" s="124" t="str">
        <f t="shared" si="7"/>
        <v>OK.</v>
      </c>
      <c r="J93" s="124" t="str">
        <f t="shared" si="7"/>
        <v>OK.</v>
      </c>
      <c r="K93" s="124" t="str">
        <f t="shared" si="7"/>
        <v>OK.</v>
      </c>
    </row>
    <row r="94" spans="2:11" ht="14.25" outlineLevel="1">
      <c r="B94" s="125" t="s">
        <v>141</v>
      </c>
      <c r="C94" s="124" t="str">
        <f aca="true" t="shared" si="8" ref="C94:K94">+IF(C36&lt;C37,"Brak pokrycia","OK.")</f>
        <v>OK.</v>
      </c>
      <c r="D94" s="124" t="str">
        <f t="shared" si="8"/>
        <v>OK.</v>
      </c>
      <c r="E94" s="124" t="str">
        <f t="shared" si="8"/>
        <v>OK.</v>
      </c>
      <c r="F94" s="124" t="str">
        <f t="shared" si="8"/>
        <v>OK.</v>
      </c>
      <c r="G94" s="124" t="str">
        <f t="shared" si="8"/>
        <v>OK.</v>
      </c>
      <c r="H94" s="124" t="str">
        <f t="shared" si="8"/>
        <v>OK.</v>
      </c>
      <c r="I94" s="124" t="str">
        <f t="shared" si="8"/>
        <v>OK.</v>
      </c>
      <c r="J94" s="124" t="str">
        <f t="shared" si="8"/>
        <v>OK.</v>
      </c>
      <c r="K94" s="124" t="str">
        <f t="shared" si="8"/>
        <v>OK.</v>
      </c>
    </row>
    <row r="95" spans="2:11" ht="14.25" outlineLevel="1">
      <c r="B95" s="126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22.5" outlineLevel="1">
      <c r="B96" s="128" t="s">
        <v>189</v>
      </c>
      <c r="C96" s="121" t="str">
        <f aca="true" t="shared" si="9" ref="C96:K96">+IF(AND(C23=0,C22&gt;0),"Błąd","OK.")</f>
        <v>OK.</v>
      </c>
      <c r="D96" s="121" t="str">
        <f t="shared" si="9"/>
        <v>OK.</v>
      </c>
      <c r="E96" s="121" t="str">
        <f t="shared" si="9"/>
        <v>OK.</v>
      </c>
      <c r="F96" s="121" t="str">
        <f t="shared" si="9"/>
        <v>OK.</v>
      </c>
      <c r="G96" s="121" t="str">
        <f t="shared" si="9"/>
        <v>OK.</v>
      </c>
      <c r="H96" s="121" t="str">
        <f t="shared" si="9"/>
        <v>OK.</v>
      </c>
      <c r="I96" s="121" t="str">
        <f t="shared" si="9"/>
        <v>OK.</v>
      </c>
      <c r="J96" s="121" t="str">
        <f t="shared" si="9"/>
        <v>OK.</v>
      </c>
      <c r="K96" s="121" t="str">
        <f t="shared" si="9"/>
        <v>OK.</v>
      </c>
    </row>
    <row r="97" spans="2:11" ht="22.5" outlineLevel="1">
      <c r="B97" s="122" t="s">
        <v>144</v>
      </c>
      <c r="C97" s="127" t="s">
        <v>138</v>
      </c>
      <c r="D97" s="121" t="str">
        <f>+IF(ROUND(C42+D34-D39-D42+D98,4)=0,"OK.",ROUND(D42-(C42+D34-D39+D98),4))</f>
        <v>OK.</v>
      </c>
      <c r="E97" s="121" t="str">
        <f aca="true" t="shared" si="10" ref="E97:K97">+IF(ROUND(D42+E34-E39-E42+E98,4)=0,"OK.",ROUND(E42-(D42+E34-E39+E98),4))</f>
        <v>OK.</v>
      </c>
      <c r="F97" s="121" t="str">
        <f t="shared" si="10"/>
        <v>OK.</v>
      </c>
      <c r="G97" s="121" t="str">
        <f t="shared" si="10"/>
        <v>OK.</v>
      </c>
      <c r="H97" s="121" t="str">
        <f t="shared" si="10"/>
        <v>OK.</v>
      </c>
      <c r="I97" s="121" t="str">
        <f t="shared" si="10"/>
        <v>OK.</v>
      </c>
      <c r="J97" s="121" t="str">
        <f t="shared" si="10"/>
        <v>OK.</v>
      </c>
      <c r="K97" s="121" t="str">
        <f t="shared" si="10"/>
        <v>OK.</v>
      </c>
    </row>
    <row r="98" spans="1:11" s="184" customFormat="1" ht="14.25" outlineLevel="1">
      <c r="A98" s="1"/>
      <c r="B98" s="267" t="s">
        <v>373</v>
      </c>
      <c r="C98" s="127" t="s">
        <v>138</v>
      </c>
      <c r="D98" s="121">
        <f>+D43-C43</f>
        <v>0</v>
      </c>
      <c r="E98" s="121">
        <f aca="true" t="shared" si="11" ref="E98:K98">+D43-E43</f>
        <v>0</v>
      </c>
      <c r="F98" s="121">
        <f t="shared" si="11"/>
        <v>0</v>
      </c>
      <c r="G98" s="121">
        <f t="shared" si="11"/>
        <v>0</v>
      </c>
      <c r="H98" s="121">
        <f t="shared" si="11"/>
        <v>0</v>
      </c>
      <c r="I98" s="121">
        <f t="shared" si="11"/>
        <v>0</v>
      </c>
      <c r="J98" s="121">
        <f t="shared" si="11"/>
        <v>0</v>
      </c>
      <c r="K98" s="121">
        <f t="shared" si="11"/>
        <v>0</v>
      </c>
    </row>
    <row r="99" spans="2:11" ht="22.5" outlineLevel="1">
      <c r="B99" s="128" t="s">
        <v>151</v>
      </c>
      <c r="C99" s="124" t="str">
        <f aca="true" t="shared" si="12" ref="C99:K99">+IF(C42&lt;C44,"Za wysoka","OK.")</f>
        <v>OK.</v>
      </c>
      <c r="D99" s="124" t="str">
        <f t="shared" si="12"/>
        <v>OK.</v>
      </c>
      <c r="E99" s="124" t="str">
        <f t="shared" si="12"/>
        <v>OK.</v>
      </c>
      <c r="F99" s="124" t="str">
        <f t="shared" si="12"/>
        <v>OK.</v>
      </c>
      <c r="G99" s="124" t="str">
        <f t="shared" si="12"/>
        <v>OK.</v>
      </c>
      <c r="H99" s="124" t="str">
        <f t="shared" si="12"/>
        <v>OK.</v>
      </c>
      <c r="I99" s="124" t="str">
        <f t="shared" si="12"/>
        <v>OK.</v>
      </c>
      <c r="J99" s="124" t="str">
        <f t="shared" si="12"/>
        <v>OK.</v>
      </c>
      <c r="K99" s="124" t="str">
        <f t="shared" si="12"/>
        <v>OK.</v>
      </c>
    </row>
    <row r="100" spans="2:11" ht="22.5" outlineLevel="1">
      <c r="B100" s="128" t="s">
        <v>146</v>
      </c>
      <c r="C100" s="121" t="str">
        <f aca="true" t="shared" si="13" ref="C100:K100">+IF(C39&lt;C40,"Za wysoka","OK.")</f>
        <v>OK.</v>
      </c>
      <c r="D100" s="121" t="str">
        <f t="shared" si="13"/>
        <v>OK.</v>
      </c>
      <c r="E100" s="121" t="str">
        <f t="shared" si="13"/>
        <v>OK.</v>
      </c>
      <c r="F100" s="121" t="str">
        <f t="shared" si="13"/>
        <v>OK.</v>
      </c>
      <c r="G100" s="121" t="str">
        <f t="shared" si="13"/>
        <v>OK.</v>
      </c>
      <c r="H100" s="121" t="str">
        <f t="shared" si="13"/>
        <v>OK.</v>
      </c>
      <c r="I100" s="121" t="str">
        <f t="shared" si="13"/>
        <v>OK.</v>
      </c>
      <c r="J100" s="121" t="str">
        <f t="shared" si="13"/>
        <v>OK.</v>
      </c>
      <c r="K100" s="121" t="str">
        <f t="shared" si="13"/>
        <v>OK.</v>
      </c>
    </row>
    <row r="101" spans="2:11" ht="22.5" outlineLevel="1">
      <c r="B101" s="128" t="s">
        <v>145</v>
      </c>
      <c r="C101" s="124" t="str">
        <f aca="true" t="shared" si="14" ref="C101:K101">+IF(C17&lt;C18,"Za wysoka","OK.")</f>
        <v>OK.</v>
      </c>
      <c r="D101" s="124" t="str">
        <f t="shared" si="14"/>
        <v>OK.</v>
      </c>
      <c r="E101" s="124" t="str">
        <f t="shared" si="14"/>
        <v>OK.</v>
      </c>
      <c r="F101" s="124" t="str">
        <f t="shared" si="14"/>
        <v>OK.</v>
      </c>
      <c r="G101" s="124" t="str">
        <f t="shared" si="14"/>
        <v>OK.</v>
      </c>
      <c r="H101" s="124" t="str">
        <f t="shared" si="14"/>
        <v>OK.</v>
      </c>
      <c r="I101" s="124" t="str">
        <f t="shared" si="14"/>
        <v>OK.</v>
      </c>
      <c r="J101" s="124" t="str">
        <f t="shared" si="14"/>
        <v>OK.</v>
      </c>
      <c r="K101" s="124" t="str">
        <f t="shared" si="14"/>
        <v>OK.</v>
      </c>
    </row>
    <row r="102" spans="2:11" ht="22.5" outlineLevel="1">
      <c r="B102" s="128" t="s">
        <v>150</v>
      </c>
      <c r="C102" s="124" t="str">
        <f aca="true" t="shared" si="15" ref="C102:K102">+IF(C42&lt;C43,"Za wysoka","OK.")</f>
        <v>OK.</v>
      </c>
      <c r="D102" s="124" t="str">
        <f t="shared" si="15"/>
        <v>OK.</v>
      </c>
      <c r="E102" s="124" t="str">
        <f t="shared" si="15"/>
        <v>OK.</v>
      </c>
      <c r="F102" s="124" t="str">
        <f t="shared" si="15"/>
        <v>OK.</v>
      </c>
      <c r="G102" s="124" t="str">
        <f t="shared" si="15"/>
        <v>OK.</v>
      </c>
      <c r="H102" s="124" t="str">
        <f t="shared" si="15"/>
        <v>OK.</v>
      </c>
      <c r="I102" s="124" t="str">
        <f t="shared" si="15"/>
        <v>OK.</v>
      </c>
      <c r="J102" s="124" t="str">
        <f t="shared" si="15"/>
        <v>OK.</v>
      </c>
      <c r="K102" s="124" t="str">
        <f t="shared" si="15"/>
        <v>OK.</v>
      </c>
    </row>
    <row r="103" spans="2:11" ht="22.5" outlineLevel="1">
      <c r="B103" s="128" t="s">
        <v>154</v>
      </c>
      <c r="C103" s="124" t="str">
        <f aca="true" t="shared" si="16" ref="C103:K103">+IF(C42&lt;C65,"Za wysoka","OK.")</f>
        <v>OK.</v>
      </c>
      <c r="D103" s="124" t="str">
        <f t="shared" si="16"/>
        <v>OK.</v>
      </c>
      <c r="E103" s="124" t="str">
        <f t="shared" si="16"/>
        <v>OK.</v>
      </c>
      <c r="F103" s="124" t="str">
        <f t="shared" si="16"/>
        <v>OK.</v>
      </c>
      <c r="G103" s="124" t="str">
        <f t="shared" si="16"/>
        <v>OK.</v>
      </c>
      <c r="H103" s="124" t="str">
        <f t="shared" si="16"/>
        <v>OK.</v>
      </c>
      <c r="I103" s="124" t="str">
        <f t="shared" si="16"/>
        <v>OK.</v>
      </c>
      <c r="J103" s="124" t="str">
        <f t="shared" si="16"/>
        <v>OK.</v>
      </c>
      <c r="K103" s="124" t="str">
        <f t="shared" si="16"/>
        <v>OK.</v>
      </c>
    </row>
    <row r="104" spans="2:11" ht="22.5" outlineLevel="1">
      <c r="B104" s="128" t="s">
        <v>155</v>
      </c>
      <c r="C104" s="124" t="str">
        <f>+IF(C65&lt;C66,"Za wysoka","OK.")</f>
        <v>OK.</v>
      </c>
      <c r="D104" s="124" t="str">
        <f aca="true" t="shared" si="17" ref="D104:K104">+IF(D65&lt;D66,"Za wysoka","OK.")</f>
        <v>OK.</v>
      </c>
      <c r="E104" s="124" t="str">
        <f t="shared" si="17"/>
        <v>OK.</v>
      </c>
      <c r="F104" s="124" t="str">
        <f t="shared" si="17"/>
        <v>OK.</v>
      </c>
      <c r="G104" s="124" t="str">
        <f t="shared" si="17"/>
        <v>OK.</v>
      </c>
      <c r="H104" s="124" t="str">
        <f t="shared" si="17"/>
        <v>OK.</v>
      </c>
      <c r="I104" s="124" t="str">
        <f t="shared" si="17"/>
        <v>OK.</v>
      </c>
      <c r="J104" s="124" t="str">
        <f t="shared" si="17"/>
        <v>OK.</v>
      </c>
      <c r="K104" s="124" t="str">
        <f t="shared" si="17"/>
        <v>OK.</v>
      </c>
    </row>
    <row r="105" spans="2:11" ht="14.25" outlineLevel="1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2:11" ht="22.5" outlineLevel="1">
      <c r="B106" s="128" t="s">
        <v>147</v>
      </c>
      <c r="C106" s="124" t="str">
        <f aca="true" t="shared" si="18" ref="C106:K106">+IF(ROUND((C16-(C20+C17+C22)),4)&gt;=0,"OK.","Błąd")</f>
        <v>OK.</v>
      </c>
      <c r="D106" s="124" t="str">
        <f t="shared" si="18"/>
        <v>OK.</v>
      </c>
      <c r="E106" s="124" t="str">
        <f t="shared" si="18"/>
        <v>OK.</v>
      </c>
      <c r="F106" s="124" t="str">
        <f t="shared" si="18"/>
        <v>OK.</v>
      </c>
      <c r="G106" s="124" t="str">
        <f t="shared" si="18"/>
        <v>OK.</v>
      </c>
      <c r="H106" s="124" t="str">
        <f t="shared" si="18"/>
        <v>OK.</v>
      </c>
      <c r="I106" s="124" t="str">
        <f t="shared" si="18"/>
        <v>OK.</v>
      </c>
      <c r="J106" s="124" t="str">
        <f t="shared" si="18"/>
        <v>OK.</v>
      </c>
      <c r="K106" s="124" t="str">
        <f t="shared" si="18"/>
        <v>OK.</v>
      </c>
    </row>
    <row r="107" spans="2:11" ht="22.5" outlineLevel="1">
      <c r="B107" s="128" t="s">
        <v>148</v>
      </c>
      <c r="C107" s="124" t="str">
        <f aca="true" t="shared" si="19" ref="C107:K107">+IF(C22&lt;C23,"Za wysokie","OK.")</f>
        <v>OK.</v>
      </c>
      <c r="D107" s="124" t="str">
        <f t="shared" si="19"/>
        <v>OK.</v>
      </c>
      <c r="E107" s="124" t="str">
        <f t="shared" si="19"/>
        <v>OK.</v>
      </c>
      <c r="F107" s="124" t="str">
        <f t="shared" si="19"/>
        <v>OK.</v>
      </c>
      <c r="G107" s="124" t="str">
        <f t="shared" si="19"/>
        <v>OK.</v>
      </c>
      <c r="H107" s="124" t="str">
        <f t="shared" si="19"/>
        <v>OK.</v>
      </c>
      <c r="I107" s="124" t="str">
        <f t="shared" si="19"/>
        <v>OK.</v>
      </c>
      <c r="J107" s="124" t="str">
        <f t="shared" si="19"/>
        <v>OK.</v>
      </c>
      <c r="K107" s="124" t="str">
        <f t="shared" si="19"/>
        <v>OK.</v>
      </c>
    </row>
    <row r="108" spans="2:11" ht="14.25" outlineLevel="1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2:11" ht="33.75" outlineLevel="1">
      <c r="B109" s="128" t="s">
        <v>379</v>
      </c>
      <c r="C109" s="124" t="str">
        <f aca="true" t="shared" si="20" ref="C109:K109">+IF(C7&lt;C8,"Za wysokie","OK.")</f>
        <v>OK.</v>
      </c>
      <c r="D109" s="124" t="str">
        <f t="shared" si="20"/>
        <v>OK.</v>
      </c>
      <c r="E109" s="124" t="str">
        <f t="shared" si="20"/>
        <v>OK.</v>
      </c>
      <c r="F109" s="124" t="str">
        <f t="shared" si="20"/>
        <v>OK.</v>
      </c>
      <c r="G109" s="124" t="str">
        <f t="shared" si="20"/>
        <v>OK.</v>
      </c>
      <c r="H109" s="124" t="str">
        <f t="shared" si="20"/>
        <v>OK.</v>
      </c>
      <c r="I109" s="124" t="str">
        <f t="shared" si="20"/>
        <v>OK.</v>
      </c>
      <c r="J109" s="124" t="str">
        <f t="shared" si="20"/>
        <v>OK.</v>
      </c>
      <c r="K109" s="124" t="str">
        <f t="shared" si="20"/>
        <v>OK.</v>
      </c>
    </row>
    <row r="110" spans="1:11" s="184" customFormat="1" ht="33.75" outlineLevel="1">
      <c r="A110" s="1"/>
      <c r="B110" s="128" t="s">
        <v>382</v>
      </c>
      <c r="C110" s="124" t="str">
        <f aca="true" t="shared" si="21" ref="C110:K110">+IF(C8&lt;C9,"Za wysokie","OK.")</f>
        <v>OK.</v>
      </c>
      <c r="D110" s="124" t="str">
        <f t="shared" si="21"/>
        <v>OK.</v>
      </c>
      <c r="E110" s="124" t="str">
        <f t="shared" si="21"/>
        <v>OK.</v>
      </c>
      <c r="F110" s="124" t="str">
        <f t="shared" si="21"/>
        <v>OK.</v>
      </c>
      <c r="G110" s="124" t="str">
        <f t="shared" si="21"/>
        <v>OK.</v>
      </c>
      <c r="H110" s="124" t="str">
        <f t="shared" si="21"/>
        <v>OK.</v>
      </c>
      <c r="I110" s="124" t="str">
        <f t="shared" si="21"/>
        <v>OK.</v>
      </c>
      <c r="J110" s="124" t="str">
        <f t="shared" si="21"/>
        <v>OK.</v>
      </c>
      <c r="K110" s="124" t="str">
        <f t="shared" si="21"/>
        <v>OK.</v>
      </c>
    </row>
    <row r="111" spans="2:11" ht="33.75" outlineLevel="1">
      <c r="B111" s="128" t="s">
        <v>380</v>
      </c>
      <c r="C111" s="124" t="str">
        <f aca="true" t="shared" si="22" ref="C111:K111">+IF(C10&lt;C12,"Za wysokie","OK.")</f>
        <v>OK.</v>
      </c>
      <c r="D111" s="124" t="str">
        <f t="shared" si="22"/>
        <v>OK.</v>
      </c>
      <c r="E111" s="124" t="str">
        <f t="shared" si="22"/>
        <v>OK.</v>
      </c>
      <c r="F111" s="124" t="str">
        <f t="shared" si="22"/>
        <v>OK.</v>
      </c>
      <c r="G111" s="124" t="str">
        <f t="shared" si="22"/>
        <v>OK.</v>
      </c>
      <c r="H111" s="124" t="str">
        <f t="shared" si="22"/>
        <v>OK.</v>
      </c>
      <c r="I111" s="124" t="str">
        <f t="shared" si="22"/>
        <v>OK.</v>
      </c>
      <c r="J111" s="124" t="str">
        <f t="shared" si="22"/>
        <v>OK.</v>
      </c>
      <c r="K111" s="124" t="str">
        <f t="shared" si="22"/>
        <v>OK.</v>
      </c>
    </row>
    <row r="112" spans="1:11" s="184" customFormat="1" ht="33.75" outlineLevel="1">
      <c r="A112" s="1"/>
      <c r="B112" s="128" t="s">
        <v>381</v>
      </c>
      <c r="C112" s="124" t="str">
        <f aca="true" t="shared" si="23" ref="C112:K112">+IF(C12&lt;C13,"Za wysokie","OK.")</f>
        <v>OK.</v>
      </c>
      <c r="D112" s="124" t="str">
        <f t="shared" si="23"/>
        <v>OK.</v>
      </c>
      <c r="E112" s="124" t="str">
        <f t="shared" si="23"/>
        <v>OK.</v>
      </c>
      <c r="F112" s="124" t="str">
        <f t="shared" si="23"/>
        <v>OK.</v>
      </c>
      <c r="G112" s="124" t="str">
        <f t="shared" si="23"/>
        <v>OK.</v>
      </c>
      <c r="H112" s="124" t="str">
        <f t="shared" si="23"/>
        <v>OK.</v>
      </c>
      <c r="I112" s="124" t="str">
        <f t="shared" si="23"/>
        <v>OK.</v>
      </c>
      <c r="J112" s="124" t="str">
        <f t="shared" si="23"/>
        <v>OK.</v>
      </c>
      <c r="K112" s="124" t="str">
        <f t="shared" si="23"/>
        <v>OK.</v>
      </c>
    </row>
    <row r="113" spans="1:233" s="184" customFormat="1" ht="22.5" outlineLevel="1">
      <c r="A113" s="1"/>
      <c r="B113" s="128" t="s">
        <v>238</v>
      </c>
      <c r="C113" s="124" t="str">
        <f aca="true" t="shared" si="24" ref="C113:K113">+IF(C10&lt;(C11+C13),"Za wysokie","OK.")</f>
        <v>OK.</v>
      </c>
      <c r="D113" s="124" t="str">
        <f t="shared" si="24"/>
        <v>OK.</v>
      </c>
      <c r="E113" s="124" t="str">
        <f t="shared" si="24"/>
        <v>OK.</v>
      </c>
      <c r="F113" s="124" t="str">
        <f t="shared" si="24"/>
        <v>OK.</v>
      </c>
      <c r="G113" s="124" t="str">
        <f t="shared" si="24"/>
        <v>OK.</v>
      </c>
      <c r="H113" s="124" t="str">
        <f t="shared" si="24"/>
        <v>OK.</v>
      </c>
      <c r="I113" s="124" t="str">
        <f t="shared" si="24"/>
        <v>OK.</v>
      </c>
      <c r="J113" s="124" t="str">
        <f t="shared" si="24"/>
        <v>OK.</v>
      </c>
      <c r="K113" s="124" t="str">
        <f t="shared" si="24"/>
        <v>OK.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</row>
    <row r="114" spans="2:11" ht="33.75" outlineLevel="1">
      <c r="B114" s="128" t="s">
        <v>153</v>
      </c>
      <c r="C114" s="124" t="str">
        <f aca="true" t="shared" si="25" ref="C114:K114">+IF(C16&lt;C20,"Za wysokie","OK.")</f>
        <v>OK.</v>
      </c>
      <c r="D114" s="124" t="str">
        <f t="shared" si="25"/>
        <v>OK.</v>
      </c>
      <c r="E114" s="124" t="str">
        <f t="shared" si="25"/>
        <v>OK.</v>
      </c>
      <c r="F114" s="124" t="str">
        <f t="shared" si="25"/>
        <v>OK.</v>
      </c>
      <c r="G114" s="124" t="str">
        <f t="shared" si="25"/>
        <v>OK.</v>
      </c>
      <c r="H114" s="124" t="str">
        <f t="shared" si="25"/>
        <v>OK.</v>
      </c>
      <c r="I114" s="124" t="str">
        <f t="shared" si="25"/>
        <v>OK.</v>
      </c>
      <c r="J114" s="124" t="str">
        <f t="shared" si="25"/>
        <v>OK.</v>
      </c>
      <c r="K114" s="124" t="str">
        <f t="shared" si="25"/>
        <v>OK.</v>
      </c>
    </row>
    <row r="115" spans="1:11" s="184" customFormat="1" ht="33.75" outlineLevel="1">
      <c r="A115" s="1"/>
      <c r="B115" s="128" t="s">
        <v>378</v>
      </c>
      <c r="C115" s="124" t="str">
        <f aca="true" t="shared" si="26" ref="C115:K115">+IF(C20&lt;C21,"Za wysokie","OK.")</f>
        <v>OK.</v>
      </c>
      <c r="D115" s="124" t="str">
        <f t="shared" si="26"/>
        <v>OK.</v>
      </c>
      <c r="E115" s="124" t="str">
        <f t="shared" si="26"/>
        <v>OK.</v>
      </c>
      <c r="F115" s="124" t="str">
        <f t="shared" si="26"/>
        <v>OK.</v>
      </c>
      <c r="G115" s="124" t="str">
        <f t="shared" si="26"/>
        <v>OK.</v>
      </c>
      <c r="H115" s="124" t="str">
        <f t="shared" si="26"/>
        <v>OK.</v>
      </c>
      <c r="I115" s="124" t="str">
        <f t="shared" si="26"/>
        <v>OK.</v>
      </c>
      <c r="J115" s="124" t="str">
        <f t="shared" si="26"/>
        <v>OK.</v>
      </c>
      <c r="K115" s="124" t="str">
        <f t="shared" si="26"/>
        <v>OK.</v>
      </c>
    </row>
    <row r="116" spans="2:11" ht="33.75" outlineLevel="1">
      <c r="B116" s="269" t="s">
        <v>149</v>
      </c>
      <c r="C116" s="124" t="str">
        <f aca="true" t="shared" si="27" ref="C116:K116">+IF(C24&lt;C25,"Za wysokie","OK.")</f>
        <v>OK.</v>
      </c>
      <c r="D116" s="124" t="str">
        <f t="shared" si="27"/>
        <v>OK.</v>
      </c>
      <c r="E116" s="124" t="str">
        <f t="shared" si="27"/>
        <v>OK.</v>
      </c>
      <c r="F116" s="124" t="str">
        <f t="shared" si="27"/>
        <v>OK.</v>
      </c>
      <c r="G116" s="124" t="str">
        <f t="shared" si="27"/>
        <v>OK.</v>
      </c>
      <c r="H116" s="124" t="str">
        <f t="shared" si="27"/>
        <v>OK.</v>
      </c>
      <c r="I116" s="124" t="str">
        <f t="shared" si="27"/>
        <v>OK.</v>
      </c>
      <c r="J116" s="124" t="str">
        <f t="shared" si="27"/>
        <v>OK.</v>
      </c>
      <c r="K116" s="124" t="str">
        <f t="shared" si="27"/>
        <v>OK.</v>
      </c>
    </row>
    <row r="117" spans="1:11" s="184" customFormat="1" ht="45" outlineLevel="1">
      <c r="A117" s="1"/>
      <c r="B117" s="130" t="s">
        <v>377</v>
      </c>
      <c r="C117" s="131" t="str">
        <f aca="true" t="shared" si="28" ref="C117:K117">+IF(C25&lt;C26,"Za wysokie","OK.")</f>
        <v>OK.</v>
      </c>
      <c r="D117" s="131" t="str">
        <f t="shared" si="28"/>
        <v>OK.</v>
      </c>
      <c r="E117" s="131" t="str">
        <f t="shared" si="28"/>
        <v>OK.</v>
      </c>
      <c r="F117" s="131" t="str">
        <f t="shared" si="28"/>
        <v>OK.</v>
      </c>
      <c r="G117" s="131" t="str">
        <f t="shared" si="28"/>
        <v>OK.</v>
      </c>
      <c r="H117" s="131" t="str">
        <f t="shared" si="28"/>
        <v>OK.</v>
      </c>
      <c r="I117" s="131" t="str">
        <f t="shared" si="28"/>
        <v>OK.</v>
      </c>
      <c r="J117" s="131" t="str">
        <f t="shared" si="28"/>
        <v>OK.</v>
      </c>
      <c r="K117" s="131" t="str">
        <f t="shared" si="28"/>
        <v>OK.</v>
      </c>
    </row>
    <row r="118" spans="1:11" ht="14.25" outlineLevel="1">
      <c r="A118" s="185"/>
      <c r="B118" s="187" t="s">
        <v>202</v>
      </c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ht="14.25" outlineLevel="1">
      <c r="A119" s="185"/>
      <c r="B119" s="187" t="s">
        <v>209</v>
      </c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24" outlineLevel="1">
      <c r="A120" s="185"/>
      <c r="B120" s="186" t="s">
        <v>203</v>
      </c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24" outlineLevel="1">
      <c r="A121" s="185"/>
      <c r="B121" s="188" t="s">
        <v>204</v>
      </c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:11" ht="36" outlineLevel="1">
      <c r="A122" s="185"/>
      <c r="B122" s="188" t="s">
        <v>205</v>
      </c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24" outlineLevel="1">
      <c r="A123" s="185"/>
      <c r="B123" s="188" t="s">
        <v>206</v>
      </c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 ht="14.25" outlineLevel="1">
      <c r="A124" s="184"/>
      <c r="B124" s="183" t="s">
        <v>198</v>
      </c>
      <c r="C124" s="120">
        <f aca="true" t="shared" si="29" ref="C124:K124">+C6-(C7+C10)</f>
        <v>0</v>
      </c>
      <c r="D124" s="120">
        <f t="shared" si="29"/>
        <v>0</v>
      </c>
      <c r="E124" s="120">
        <f t="shared" si="29"/>
        <v>0</v>
      </c>
      <c r="F124" s="120">
        <f t="shared" si="29"/>
        <v>0</v>
      </c>
      <c r="G124" s="120">
        <f t="shared" si="29"/>
        <v>0</v>
      </c>
      <c r="H124" s="120">
        <f t="shared" si="29"/>
        <v>0</v>
      </c>
      <c r="I124" s="120">
        <f t="shared" si="29"/>
        <v>0</v>
      </c>
      <c r="J124" s="120">
        <f t="shared" si="29"/>
        <v>0</v>
      </c>
      <c r="K124" s="120">
        <f t="shared" si="29"/>
        <v>0</v>
      </c>
    </row>
    <row r="125" spans="1:11" ht="14.25" outlineLevel="1">
      <c r="A125" s="184"/>
      <c r="B125" s="182" t="s">
        <v>199</v>
      </c>
      <c r="C125" s="121">
        <f aca="true" t="shared" si="30" ref="C125:K125">+C14-(C15+C24)</f>
        <v>0</v>
      </c>
      <c r="D125" s="121">
        <f t="shared" si="30"/>
        <v>0</v>
      </c>
      <c r="E125" s="121">
        <f t="shared" si="30"/>
        <v>0</v>
      </c>
      <c r="F125" s="121">
        <f t="shared" si="30"/>
        <v>0</v>
      </c>
      <c r="G125" s="121">
        <f t="shared" si="30"/>
        <v>0</v>
      </c>
      <c r="H125" s="121">
        <f t="shared" si="30"/>
        <v>0</v>
      </c>
      <c r="I125" s="121">
        <f t="shared" si="30"/>
        <v>0</v>
      </c>
      <c r="J125" s="121">
        <f t="shared" si="30"/>
        <v>0</v>
      </c>
      <c r="K125" s="121">
        <f t="shared" si="30"/>
        <v>0</v>
      </c>
    </row>
    <row r="126" spans="1:11" ht="14.25" outlineLevel="1">
      <c r="A126" s="184"/>
      <c r="B126" s="182" t="s">
        <v>200</v>
      </c>
      <c r="C126" s="121">
        <f aca="true" t="shared" si="31" ref="C126:K126">+C27-(C6-C14)</f>
        <v>0</v>
      </c>
      <c r="D126" s="121">
        <f t="shared" si="31"/>
        <v>0</v>
      </c>
      <c r="E126" s="121">
        <f t="shared" si="31"/>
        <v>0</v>
      </c>
      <c r="F126" s="121">
        <f t="shared" si="31"/>
        <v>0</v>
      </c>
      <c r="G126" s="121">
        <f t="shared" si="31"/>
        <v>0</v>
      </c>
      <c r="H126" s="121">
        <f t="shared" si="31"/>
        <v>0</v>
      </c>
      <c r="I126" s="121">
        <f t="shared" si="31"/>
        <v>0</v>
      </c>
      <c r="J126" s="121">
        <f t="shared" si="31"/>
        <v>0</v>
      </c>
      <c r="K126" s="121">
        <f t="shared" si="31"/>
        <v>0</v>
      </c>
    </row>
    <row r="127" spans="1:11" ht="14.25" outlineLevel="1">
      <c r="A127" s="184"/>
      <c r="B127" s="181" t="s">
        <v>201</v>
      </c>
      <c r="C127" s="180">
        <f aca="true" t="shared" si="32" ref="C127:K127">+IF(C27&gt;0,C27-C64,0)</f>
        <v>0</v>
      </c>
      <c r="D127" s="180">
        <f t="shared" si="32"/>
        <v>0</v>
      </c>
      <c r="E127" s="180">
        <f t="shared" si="32"/>
        <v>0</v>
      </c>
      <c r="F127" s="180">
        <f t="shared" si="32"/>
        <v>0</v>
      </c>
      <c r="G127" s="180">
        <f t="shared" si="32"/>
        <v>0</v>
      </c>
      <c r="H127" s="180">
        <f t="shared" si="32"/>
        <v>0</v>
      </c>
      <c r="I127" s="180">
        <f t="shared" si="32"/>
        <v>0</v>
      </c>
      <c r="J127" s="180">
        <f t="shared" si="32"/>
        <v>0</v>
      </c>
      <c r="K127" s="180">
        <f t="shared" si="32"/>
        <v>0</v>
      </c>
    </row>
    <row r="129" ht="15">
      <c r="B129" s="132" t="s">
        <v>219</v>
      </c>
    </row>
    <row r="130" ht="14.25" outlineLevel="1">
      <c r="B130" s="216" t="s">
        <v>230</v>
      </c>
    </row>
    <row r="131" spans="1:233" s="184" customFormat="1" ht="14.25" outlineLevel="2">
      <c r="A131" s="1"/>
      <c r="B131" s="217">
        <v>0</v>
      </c>
      <c r="C131" s="220" t="str">
        <f>+"różnica mniejsza od "&amp;TEXT(B131*100,"0,0")&amp;"%"</f>
        <v>różnica mniejsza od 0,0%</v>
      </c>
      <c r="D131" s="5"/>
      <c r="E131" s="5"/>
      <c r="F131" s="5"/>
      <c r="G131" s="5"/>
      <c r="H131" s="5"/>
      <c r="I131" s="5"/>
      <c r="J131" s="5"/>
      <c r="K131" s="5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</row>
    <row r="132" spans="1:233" s="184" customFormat="1" ht="14.25" outlineLevel="2">
      <c r="A132" s="1"/>
      <c r="B132" s="218">
        <v>0.005</v>
      </c>
      <c r="C132" s="220" t="str">
        <f>+"różnica mniejsza od "&amp;TEXT(B132*100,"0,0")&amp;"%"</f>
        <v>różnica mniejsza od 0,5%</v>
      </c>
      <c r="D132" s="5"/>
      <c r="E132" s="5"/>
      <c r="F132" s="5"/>
      <c r="G132" s="5"/>
      <c r="H132" s="5"/>
      <c r="I132" s="5"/>
      <c r="J132" s="5"/>
      <c r="K132" s="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</row>
    <row r="133" spans="1:233" s="184" customFormat="1" ht="14.25" outlineLevel="2">
      <c r="A133" s="1"/>
      <c r="B133" s="219">
        <v>0.01</v>
      </c>
      <c r="C133" s="220" t="str">
        <f>+"różnica mniejsza od "&amp;TEXT(B133*100,"0,0")&amp;"%"</f>
        <v>różnica mniejsza od 1,0%</v>
      </c>
      <c r="D133" s="5"/>
      <c r="E133" s="5"/>
      <c r="F133" s="5"/>
      <c r="G133" s="5"/>
      <c r="H133" s="5"/>
      <c r="I133" s="5"/>
      <c r="J133" s="5"/>
      <c r="K133" s="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</row>
    <row r="134" spans="2:11" ht="14.25" outlineLevel="2">
      <c r="B134" s="270" t="s">
        <v>383</v>
      </c>
      <c r="C134" s="221">
        <f aca="true" t="shared" si="33" ref="C134:K134">+IF(C6=0,"",C51-C53)</f>
        <v>0.0698</v>
      </c>
      <c r="D134" s="221">
        <f t="shared" si="33"/>
        <v>0.026900000000000007</v>
      </c>
      <c r="E134" s="221">
        <f t="shared" si="33"/>
        <v>0.001999999999999995</v>
      </c>
      <c r="F134" s="221">
        <f t="shared" si="33"/>
        <v>0.0020000000000000018</v>
      </c>
      <c r="G134" s="221">
        <f t="shared" si="33"/>
        <v>0.001800000000000003</v>
      </c>
      <c r="H134" s="221">
        <f t="shared" si="33"/>
        <v>0.0005000000000000004</v>
      </c>
      <c r="I134" s="221">
        <f t="shared" si="33"/>
        <v>0.021200000000000004</v>
      </c>
      <c r="J134" s="221">
        <f t="shared" si="33"/>
        <v>0.029099999999999997</v>
      </c>
      <c r="K134" s="221">
        <f t="shared" si="33"/>
        <v>0.0393</v>
      </c>
    </row>
    <row r="135" spans="2:11" ht="14.25" outlineLevel="2">
      <c r="B135" s="271" t="s">
        <v>384</v>
      </c>
      <c r="C135" s="222">
        <f aca="true" t="shared" si="34" ref="C135:K135">+IF(C6=0,"",C51-C56)</f>
        <v>0.0698</v>
      </c>
      <c r="D135" s="222">
        <f t="shared" si="34"/>
        <v>0.026900000000000007</v>
      </c>
      <c r="E135" s="222">
        <f t="shared" si="34"/>
        <v>0.001999999999999995</v>
      </c>
      <c r="F135" s="222">
        <f t="shared" si="34"/>
        <v>0.0020000000000000018</v>
      </c>
      <c r="G135" s="222">
        <f t="shared" si="34"/>
        <v>0.001800000000000003</v>
      </c>
      <c r="H135" s="222">
        <f t="shared" si="34"/>
        <v>0.0005000000000000004</v>
      </c>
      <c r="I135" s="222">
        <f t="shared" si="34"/>
        <v>0.021200000000000004</v>
      </c>
      <c r="J135" s="222">
        <f t="shared" si="34"/>
        <v>0.029099999999999997</v>
      </c>
      <c r="K135" s="222">
        <f t="shared" si="34"/>
        <v>0.0393</v>
      </c>
    </row>
    <row r="136" spans="2:11" ht="14.25" outlineLevel="2">
      <c r="B136" s="272"/>
      <c r="C136" s="5"/>
      <c r="D136" s="5"/>
      <c r="E136" s="5"/>
      <c r="F136" s="5"/>
      <c r="G136" s="5"/>
      <c r="H136" s="5"/>
      <c r="I136" s="5"/>
      <c r="J136" s="5"/>
      <c r="K136" s="5"/>
    </row>
    <row r="137" spans="1:233" s="184" customFormat="1" ht="14.25" outlineLevel="2">
      <c r="A137" s="1"/>
      <c r="B137" s="270" t="s">
        <v>385</v>
      </c>
      <c r="C137" s="221">
        <f aca="true" t="shared" si="35" ref="C137:K137">+IF(C6=0,"",C52-C53)</f>
        <v>0.0775</v>
      </c>
      <c r="D137" s="221">
        <f t="shared" si="35"/>
        <v>0.034600000000000006</v>
      </c>
      <c r="E137" s="221">
        <f t="shared" si="35"/>
        <v>0.009599999999999997</v>
      </c>
      <c r="F137" s="221">
        <f t="shared" si="35"/>
        <v>0.0020000000000000018</v>
      </c>
      <c r="G137" s="221">
        <f t="shared" si="35"/>
        <v>0.001800000000000003</v>
      </c>
      <c r="H137" s="221">
        <f t="shared" si="35"/>
        <v>0.0005000000000000004</v>
      </c>
      <c r="I137" s="221">
        <f t="shared" si="35"/>
        <v>0.021200000000000004</v>
      </c>
      <c r="J137" s="221">
        <f t="shared" si="35"/>
        <v>0.029099999999999997</v>
      </c>
      <c r="K137" s="221">
        <f t="shared" si="35"/>
        <v>0.0393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</row>
    <row r="138" spans="1:233" s="184" customFormat="1" ht="14.25" outlineLevel="2">
      <c r="A138" s="1"/>
      <c r="B138" s="271" t="s">
        <v>386</v>
      </c>
      <c r="C138" s="222">
        <f aca="true" t="shared" si="36" ref="C138:K138">+IF(C6=0,"",C52-C56)</f>
        <v>0.0775</v>
      </c>
      <c r="D138" s="222">
        <f t="shared" si="36"/>
        <v>0.034600000000000006</v>
      </c>
      <c r="E138" s="222">
        <f t="shared" si="36"/>
        <v>0.009599999999999997</v>
      </c>
      <c r="F138" s="222">
        <f t="shared" si="36"/>
        <v>0.0020000000000000018</v>
      </c>
      <c r="G138" s="222">
        <f t="shared" si="36"/>
        <v>0.001800000000000003</v>
      </c>
      <c r="H138" s="222">
        <f t="shared" si="36"/>
        <v>0.0005000000000000004</v>
      </c>
      <c r="I138" s="222">
        <f t="shared" si="36"/>
        <v>0.021200000000000004</v>
      </c>
      <c r="J138" s="222">
        <f t="shared" si="36"/>
        <v>0.029099999999999997</v>
      </c>
      <c r="K138" s="222">
        <f t="shared" si="36"/>
        <v>0.0393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</row>
    <row r="139" spans="2:11" ht="14.25" outlineLevel="1">
      <c r="B139" s="284" t="s">
        <v>228</v>
      </c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4.25" outlineLevel="2">
      <c r="B140" s="273">
        <v>0.05</v>
      </c>
      <c r="C140" s="220" t="str">
        <f>+"zmiana większa niż +/- "&amp;TEXT(B140*100,"0,0")&amp;"%"</f>
        <v>zmiana większa niż +/- 5,0%</v>
      </c>
      <c r="D140" s="5"/>
      <c r="E140" s="5"/>
      <c r="F140" s="5"/>
      <c r="G140" s="5"/>
      <c r="H140" s="5"/>
      <c r="I140" s="5"/>
      <c r="J140" s="5"/>
      <c r="K140" s="5"/>
    </row>
    <row r="141" spans="2:11" ht="14.25" outlineLevel="2">
      <c r="B141" s="274">
        <v>0.1</v>
      </c>
      <c r="C141" s="220" t="str">
        <f>+"zmiana większa niż +/- "&amp;TEXT(B141*100,"0,0")&amp;"%"</f>
        <v>zmiana większa niż +/- 10,0%</v>
      </c>
      <c r="D141" s="5"/>
      <c r="E141" s="5"/>
      <c r="F141" s="5"/>
      <c r="G141" s="5"/>
      <c r="H141" s="5"/>
      <c r="I141" s="5"/>
      <c r="J141" s="5"/>
      <c r="K141" s="5"/>
    </row>
    <row r="142" spans="2:11" ht="14.25" outlineLevel="2">
      <c r="B142" s="275">
        <v>0.2</v>
      </c>
      <c r="C142" s="220" t="str">
        <f>+"zmiana większa niż +/- "&amp;TEXT(B142*100,"0,0")&amp;"%"</f>
        <v>zmiana większa niż +/- 20,0%</v>
      </c>
      <c r="D142" s="5"/>
      <c r="E142" s="5"/>
      <c r="F142" s="5"/>
      <c r="G142" s="5"/>
      <c r="H142" s="5"/>
      <c r="I142" s="5"/>
      <c r="J142" s="5"/>
      <c r="K142" s="5"/>
    </row>
    <row r="143" spans="2:11" ht="14.25" outlineLevel="2">
      <c r="B143" s="276" t="s">
        <v>56</v>
      </c>
      <c r="C143" s="213" t="s">
        <v>171</v>
      </c>
      <c r="D143" s="223">
        <f aca="true" t="shared" si="37" ref="D143:K143">+IF(D6=0,0,IF(C179&lt;&gt;0,D179/C179-1,0))</f>
        <v>0.01886232904516727</v>
      </c>
      <c r="E143" s="223">
        <f t="shared" si="37"/>
        <v>-0.006690821286606807</v>
      </c>
      <c r="F143" s="223">
        <f t="shared" si="37"/>
        <v>0.020002548095298778</v>
      </c>
      <c r="G143" s="223">
        <f t="shared" si="37"/>
        <v>0.020068282121741943</v>
      </c>
      <c r="H143" s="223">
        <f t="shared" si="37"/>
        <v>0.012244897959183598</v>
      </c>
      <c r="I143" s="223">
        <f t="shared" si="37"/>
        <v>0.012096774193548487</v>
      </c>
      <c r="J143" s="223">
        <f t="shared" si="37"/>
        <v>0.01035856573705174</v>
      </c>
      <c r="K143" s="223">
        <f t="shared" si="37"/>
        <v>0</v>
      </c>
    </row>
    <row r="144" spans="2:11" ht="14.25" outlineLevel="2">
      <c r="B144" s="277" t="s">
        <v>217</v>
      </c>
      <c r="C144" s="127" t="s">
        <v>171</v>
      </c>
      <c r="D144" s="224">
        <f aca="true" t="shared" si="38" ref="D144:K144">+IF(D6=0,0,IF(C180&lt;&gt;0,D180/C180-1,0))</f>
        <v>0.029585763431975165</v>
      </c>
      <c r="E144" s="224">
        <f t="shared" si="38"/>
        <v>0.02063196220363217</v>
      </c>
      <c r="F144" s="224">
        <f t="shared" si="38"/>
        <v>0.020002548095298778</v>
      </c>
      <c r="G144" s="224">
        <f t="shared" si="38"/>
        <v>0.020068282121741943</v>
      </c>
      <c r="H144" s="224">
        <f t="shared" si="38"/>
        <v>0.012244897959183598</v>
      </c>
      <c r="I144" s="224">
        <f t="shared" si="38"/>
        <v>0.012096774193548487</v>
      </c>
      <c r="J144" s="224">
        <f t="shared" si="38"/>
        <v>0.01035856573705174</v>
      </c>
      <c r="K144" s="224">
        <f t="shared" si="38"/>
        <v>0</v>
      </c>
    </row>
    <row r="145" spans="2:11" ht="14.25" outlineLevel="2">
      <c r="B145" s="278" t="s">
        <v>216</v>
      </c>
      <c r="C145" s="127" t="s">
        <v>171</v>
      </c>
      <c r="D145" s="224">
        <f aca="true" t="shared" si="39" ref="D145:K145">+IF(D6=0,0,IF(C181&lt;&gt;0,D181/C181-1,0))</f>
        <v>0.043556957398441565</v>
      </c>
      <c r="E145" s="224">
        <f t="shared" si="39"/>
        <v>0.02063196220363217</v>
      </c>
      <c r="F145" s="224">
        <f t="shared" si="39"/>
        <v>0.020002548095298778</v>
      </c>
      <c r="G145" s="224">
        <f t="shared" si="39"/>
        <v>0.020068282121741943</v>
      </c>
      <c r="H145" s="224">
        <f t="shared" si="39"/>
        <v>0.012244897959183598</v>
      </c>
      <c r="I145" s="224">
        <f t="shared" si="39"/>
        <v>0.012096774193548487</v>
      </c>
      <c r="J145" s="224">
        <f t="shared" si="39"/>
        <v>0.01035856573705174</v>
      </c>
      <c r="K145" s="224">
        <f t="shared" si="39"/>
        <v>0</v>
      </c>
    </row>
    <row r="146" spans="2:11" ht="14.25" outlineLevel="2">
      <c r="B146" s="278" t="s">
        <v>223</v>
      </c>
      <c r="C146" s="127" t="s">
        <v>171</v>
      </c>
      <c r="D146" s="224">
        <f aca="true" t="shared" si="40" ref="D146:K146">+IF(D6=0,0,IF(C182&lt;&gt;0,D182/C182-1,0))</f>
        <v>-1</v>
      </c>
      <c r="E146" s="224">
        <f t="shared" si="40"/>
        <v>0</v>
      </c>
      <c r="F146" s="224">
        <f t="shared" si="40"/>
        <v>0</v>
      </c>
      <c r="G146" s="224">
        <f t="shared" si="40"/>
        <v>0</v>
      </c>
      <c r="H146" s="224">
        <f t="shared" si="40"/>
        <v>0</v>
      </c>
      <c r="I146" s="224">
        <f t="shared" si="40"/>
        <v>0</v>
      </c>
      <c r="J146" s="224">
        <f t="shared" si="40"/>
        <v>0</v>
      </c>
      <c r="K146" s="224">
        <f t="shared" si="40"/>
        <v>0</v>
      </c>
    </row>
    <row r="147" spans="2:11" ht="24" outlineLevel="2">
      <c r="B147" s="278" t="s">
        <v>239</v>
      </c>
      <c r="C147" s="127" t="s">
        <v>171</v>
      </c>
      <c r="D147" s="224">
        <f aca="true" t="shared" si="41" ref="D147:K147">+IF(D6=0,0,IF(C183&lt;&gt;0,D183/C183-1,0))</f>
        <v>0</v>
      </c>
      <c r="E147" s="224">
        <f t="shared" si="41"/>
        <v>0</v>
      </c>
      <c r="F147" s="224">
        <f t="shared" si="41"/>
        <v>0</v>
      </c>
      <c r="G147" s="224">
        <f t="shared" si="41"/>
        <v>0</v>
      </c>
      <c r="H147" s="224">
        <f t="shared" si="41"/>
        <v>0</v>
      </c>
      <c r="I147" s="224">
        <f t="shared" si="41"/>
        <v>0</v>
      </c>
      <c r="J147" s="224">
        <f t="shared" si="41"/>
        <v>0</v>
      </c>
      <c r="K147" s="224">
        <f t="shared" si="41"/>
        <v>0</v>
      </c>
    </row>
    <row r="148" spans="2:11" ht="14.25" outlineLevel="2">
      <c r="B148" s="279" t="s">
        <v>224</v>
      </c>
      <c r="C148" s="215" t="s">
        <v>171</v>
      </c>
      <c r="D148" s="225">
        <f aca="true" t="shared" si="42" ref="D148:K148">+IF(D6=0,0,IF(C184&lt;&gt;0,D184/C184-1,0))</f>
        <v>-1</v>
      </c>
      <c r="E148" s="225">
        <f t="shared" si="42"/>
        <v>0</v>
      </c>
      <c r="F148" s="225">
        <f t="shared" si="42"/>
        <v>0</v>
      </c>
      <c r="G148" s="225">
        <f t="shared" si="42"/>
        <v>0</v>
      </c>
      <c r="H148" s="225">
        <f t="shared" si="42"/>
        <v>0</v>
      </c>
      <c r="I148" s="225">
        <f t="shared" si="42"/>
        <v>0</v>
      </c>
      <c r="J148" s="225">
        <f t="shared" si="42"/>
        <v>0</v>
      </c>
      <c r="K148" s="225">
        <f t="shared" si="42"/>
        <v>0</v>
      </c>
    </row>
    <row r="149" spans="2:11" ht="14.25" outlineLevel="2">
      <c r="B149" s="276" t="s">
        <v>45</v>
      </c>
      <c r="C149" s="213" t="s">
        <v>171</v>
      </c>
      <c r="D149" s="223">
        <f aca="true" t="shared" si="43" ref="D149:K149">+IF(D6=0,0,IF(C185&lt;&gt;0,D185/C185-1,0))</f>
        <v>-0.03073213698449273</v>
      </c>
      <c r="E149" s="223">
        <f t="shared" si="43"/>
        <v>-0.05201325856747652</v>
      </c>
      <c r="F149" s="223">
        <f t="shared" si="43"/>
        <v>0.021575778881223417</v>
      </c>
      <c r="G149" s="223">
        <f t="shared" si="43"/>
        <v>0.01729181004817626</v>
      </c>
      <c r="H149" s="223">
        <f t="shared" si="43"/>
        <v>0.00634249471458781</v>
      </c>
      <c r="I149" s="223">
        <f t="shared" si="43"/>
        <v>0.027310924369747802</v>
      </c>
      <c r="J149" s="223">
        <f t="shared" si="43"/>
        <v>0.01104294478527601</v>
      </c>
      <c r="K149" s="223">
        <f t="shared" si="43"/>
        <v>0.0060679611650484855</v>
      </c>
    </row>
    <row r="150" spans="2:11" ht="24" outlineLevel="2">
      <c r="B150" s="280" t="s">
        <v>218</v>
      </c>
      <c r="C150" s="127" t="s">
        <v>171</v>
      </c>
      <c r="D150" s="224">
        <f aca="true" t="shared" si="44" ref="D150:K150">+IF(D6=0,0,IF(C186&lt;&gt;0,D186/C186-1,0))</f>
        <v>-0.02496509120928625</v>
      </c>
      <c r="E150" s="224">
        <f t="shared" si="44"/>
        <v>-0.014234408360879303</v>
      </c>
      <c r="F150" s="224">
        <f t="shared" si="44"/>
        <v>0.021575778881223417</v>
      </c>
      <c r="G150" s="224">
        <f t="shared" si="44"/>
        <v>0.01729181004817626</v>
      </c>
      <c r="H150" s="224">
        <f t="shared" si="44"/>
        <v>0.00634249471458781</v>
      </c>
      <c r="I150" s="224">
        <f t="shared" si="44"/>
        <v>0.027310924369747802</v>
      </c>
      <c r="J150" s="224">
        <f t="shared" si="44"/>
        <v>0.01104294478527601</v>
      </c>
      <c r="K150" s="224">
        <f t="shared" si="44"/>
        <v>0.0060679611650484855</v>
      </c>
    </row>
    <row r="151" spans="2:11" ht="14.25" outlineLevel="2">
      <c r="B151" s="281" t="s">
        <v>225</v>
      </c>
      <c r="C151" s="127" t="s">
        <v>171</v>
      </c>
      <c r="D151" s="224">
        <f aca="true" t="shared" si="45" ref="D151:K151">+IF(D6=0,0,IF(C187&lt;&gt;0,D187/C187-1,0))</f>
        <v>0.018621094033257624</v>
      </c>
      <c r="E151" s="224">
        <f t="shared" si="45"/>
        <v>0.0256511013401044</v>
      </c>
      <c r="F151" s="224">
        <f t="shared" si="45"/>
        <v>0.020982759388782357</v>
      </c>
      <c r="G151" s="224">
        <f t="shared" si="45"/>
        <v>0.007941356139279154</v>
      </c>
      <c r="H151" s="224">
        <f t="shared" si="45"/>
        <v>0.01298701298701288</v>
      </c>
      <c r="I151" s="224">
        <f t="shared" si="45"/>
        <v>0.006837606837606813</v>
      </c>
      <c r="J151" s="224">
        <f t="shared" si="45"/>
        <v>0.007640067911714787</v>
      </c>
      <c r="K151" s="224">
        <f t="shared" si="45"/>
        <v>0.013058129738837465</v>
      </c>
    </row>
    <row r="152" spans="2:11" ht="24" outlineLevel="2">
      <c r="B152" s="278" t="s">
        <v>227</v>
      </c>
      <c r="C152" s="127" t="s">
        <v>171</v>
      </c>
      <c r="D152" s="224">
        <f aca="true" t="shared" si="46" ref="D152:K152">+IF(D6=0,0,IF(C188&lt;&gt;0,D188/C188-1,0))</f>
        <v>0.02722904837355955</v>
      </c>
      <c r="E152" s="224">
        <f t="shared" si="46"/>
        <v>0.0256511013401044</v>
      </c>
      <c r="F152" s="224">
        <f t="shared" si="46"/>
        <v>0.020982759388782357</v>
      </c>
      <c r="G152" s="224">
        <f t="shared" si="46"/>
        <v>0.007941356139279154</v>
      </c>
      <c r="H152" s="224">
        <f t="shared" si="46"/>
        <v>0.01298701298701288</v>
      </c>
      <c r="I152" s="224">
        <f t="shared" si="46"/>
        <v>0.006837606837606813</v>
      </c>
      <c r="J152" s="224">
        <f t="shared" si="46"/>
        <v>0.007640067911714787</v>
      </c>
      <c r="K152" s="224">
        <f t="shared" si="46"/>
        <v>0.013058129738837465</v>
      </c>
    </row>
    <row r="153" spans="2:11" ht="14.25" outlineLevel="2">
      <c r="B153" s="278" t="s">
        <v>226</v>
      </c>
      <c r="C153" s="127" t="s">
        <v>171</v>
      </c>
      <c r="D153" s="224">
        <f aca="true" t="shared" si="47" ref="D153:K153">+IF(D6=0,0,IF(C189&lt;&gt;0,D189/C189-1,0))</f>
        <v>0</v>
      </c>
      <c r="E153" s="224">
        <f t="shared" si="47"/>
        <v>0</v>
      </c>
      <c r="F153" s="224">
        <f t="shared" si="47"/>
        <v>0</v>
      </c>
      <c r="G153" s="224">
        <f t="shared" si="47"/>
        <v>0</v>
      </c>
      <c r="H153" s="224">
        <f t="shared" si="47"/>
        <v>0</v>
      </c>
      <c r="I153" s="224">
        <f t="shared" si="47"/>
        <v>0</v>
      </c>
      <c r="J153" s="224">
        <f t="shared" si="47"/>
        <v>0</v>
      </c>
      <c r="K153" s="224">
        <f t="shared" si="47"/>
        <v>0</v>
      </c>
    </row>
    <row r="154" spans="2:11" ht="24" outlineLevel="2">
      <c r="B154" s="279" t="s">
        <v>237</v>
      </c>
      <c r="C154" s="214" t="s">
        <v>171</v>
      </c>
      <c r="D154" s="226">
        <f aca="true" t="shared" si="48" ref="D154:D159">+IF(D$6=0,0,IF(C190&lt;&gt;0,D190/C190-1,0))</f>
        <v>0.018974342873874672</v>
      </c>
      <c r="E154" s="226">
        <f aca="true" t="shared" si="49" ref="E154:K154">+IF(E6=0,0,IF(D190&lt;&gt;0,E190/D190-1,0))</f>
        <v>0.027292220234845566</v>
      </c>
      <c r="F154" s="226">
        <f t="shared" si="49"/>
        <v>0.02337803552011608</v>
      </c>
      <c r="G154" s="226">
        <f t="shared" si="49"/>
        <v>0.010713653267221623</v>
      </c>
      <c r="H154" s="226">
        <f t="shared" si="49"/>
        <v>0.015111695137976389</v>
      </c>
      <c r="I154" s="226">
        <f t="shared" si="49"/>
        <v>0.01014023732470326</v>
      </c>
      <c r="J154" s="226">
        <f t="shared" si="49"/>
        <v>0.009824861170439902</v>
      </c>
      <c r="K154" s="226">
        <f t="shared" si="49"/>
        <v>0.015228426395939021</v>
      </c>
    </row>
    <row r="155" spans="1:11" s="184" customFormat="1" ht="14.25" outlineLevel="2">
      <c r="A155" s="1"/>
      <c r="B155" s="282" t="s">
        <v>372</v>
      </c>
      <c r="C155" s="257" t="s">
        <v>171</v>
      </c>
      <c r="D155" s="223">
        <f t="shared" si="48"/>
        <v>-0.2609676908457397</v>
      </c>
      <c r="E155" s="261">
        <f aca="true" t="shared" si="50" ref="E155:K155">+IF(E$6=0,0,IF(D191&lt;&gt;0,E191/D191-1,0))</f>
        <v>-1</v>
      </c>
      <c r="F155" s="261">
        <f t="shared" si="50"/>
        <v>0</v>
      </c>
      <c r="G155" s="261">
        <f t="shared" si="50"/>
        <v>0</v>
      </c>
      <c r="H155" s="261">
        <f t="shared" si="50"/>
        <v>0</v>
      </c>
      <c r="I155" s="261">
        <f t="shared" si="50"/>
        <v>0</v>
      </c>
      <c r="J155" s="261">
        <f t="shared" si="50"/>
        <v>0</v>
      </c>
      <c r="K155" s="261">
        <f t="shared" si="50"/>
        <v>0</v>
      </c>
    </row>
    <row r="156" spans="1:11" s="184" customFormat="1" ht="14.25" outlineLevel="2">
      <c r="A156" s="1"/>
      <c r="B156" s="278" t="s">
        <v>369</v>
      </c>
      <c r="C156" s="258" t="s">
        <v>171</v>
      </c>
      <c r="D156" s="262">
        <f t="shared" si="48"/>
        <v>-1</v>
      </c>
      <c r="E156" s="263">
        <f aca="true" t="shared" si="51" ref="E156:K156">+IF(E$6=0,0,IF(D192&lt;&gt;0,E192/D192-1,0))</f>
        <v>0</v>
      </c>
      <c r="F156" s="263">
        <f t="shared" si="51"/>
        <v>0</v>
      </c>
      <c r="G156" s="263">
        <f t="shared" si="51"/>
        <v>0</v>
      </c>
      <c r="H156" s="263">
        <f t="shared" si="51"/>
        <v>0</v>
      </c>
      <c r="I156" s="263">
        <f t="shared" si="51"/>
        <v>0</v>
      </c>
      <c r="J156" s="263">
        <f t="shared" si="51"/>
        <v>0</v>
      </c>
      <c r="K156" s="263">
        <f t="shared" si="51"/>
        <v>0</v>
      </c>
    </row>
    <row r="157" spans="1:11" s="184" customFormat="1" ht="14.25" outlineLevel="2">
      <c r="A157" s="1"/>
      <c r="B157" s="278" t="s">
        <v>370</v>
      </c>
      <c r="C157" s="259" t="s">
        <v>171</v>
      </c>
      <c r="D157" s="264">
        <f t="shared" si="48"/>
        <v>-0.08523102381590741</v>
      </c>
      <c r="E157" s="264">
        <f aca="true" t="shared" si="52" ref="E157:K157">+IF(E$6=0,0,IF(D193&lt;&gt;0,E193/D193-1,0))</f>
        <v>-1</v>
      </c>
      <c r="F157" s="264">
        <f t="shared" si="52"/>
        <v>0</v>
      </c>
      <c r="G157" s="264">
        <f t="shared" si="52"/>
        <v>0</v>
      </c>
      <c r="H157" s="264">
        <f t="shared" si="52"/>
        <v>0</v>
      </c>
      <c r="I157" s="264">
        <f t="shared" si="52"/>
        <v>0</v>
      </c>
      <c r="J157" s="264">
        <f t="shared" si="52"/>
        <v>0</v>
      </c>
      <c r="K157" s="264">
        <f t="shared" si="52"/>
        <v>0</v>
      </c>
    </row>
    <row r="158" spans="1:11" s="184" customFormat="1" ht="24" outlineLevel="2">
      <c r="A158" s="1"/>
      <c r="B158" s="283" t="s">
        <v>368</v>
      </c>
      <c r="C158" s="257" t="s">
        <v>171</v>
      </c>
      <c r="D158" s="261">
        <f t="shared" si="48"/>
        <v>-0.2609676908457397</v>
      </c>
      <c r="E158" s="261">
        <f aca="true" t="shared" si="53" ref="E158:K158">+IF(E$6=0,0,IF(D194&lt;&gt;0,E194/D194-1,0))</f>
        <v>-1</v>
      </c>
      <c r="F158" s="261">
        <f t="shared" si="53"/>
        <v>0</v>
      </c>
      <c r="G158" s="261">
        <f t="shared" si="53"/>
        <v>0</v>
      </c>
      <c r="H158" s="261">
        <f t="shared" si="53"/>
        <v>0</v>
      </c>
      <c r="I158" s="261">
        <f t="shared" si="53"/>
        <v>0</v>
      </c>
      <c r="J158" s="261">
        <f t="shared" si="53"/>
        <v>0</v>
      </c>
      <c r="K158" s="261">
        <f t="shared" si="53"/>
        <v>0</v>
      </c>
    </row>
    <row r="159" spans="1:11" s="184" customFormat="1" ht="24" outlineLevel="2">
      <c r="A159" s="1"/>
      <c r="B159" s="279" t="s">
        <v>371</v>
      </c>
      <c r="C159" s="260" t="s">
        <v>171</v>
      </c>
      <c r="D159" s="265">
        <f t="shared" si="48"/>
        <v>-1</v>
      </c>
      <c r="E159" s="265">
        <f aca="true" t="shared" si="54" ref="E159:K159">+IF(E$6=0,0,IF(D195&lt;&gt;0,E195/D195-1,0))</f>
        <v>0</v>
      </c>
      <c r="F159" s="265">
        <f t="shared" si="54"/>
        <v>0</v>
      </c>
      <c r="G159" s="265">
        <f t="shared" si="54"/>
        <v>0</v>
      </c>
      <c r="H159" s="265">
        <f t="shared" si="54"/>
        <v>0</v>
      </c>
      <c r="I159" s="265">
        <f t="shared" si="54"/>
        <v>0</v>
      </c>
      <c r="J159" s="265">
        <f t="shared" si="54"/>
        <v>0</v>
      </c>
      <c r="K159" s="265">
        <f t="shared" si="54"/>
        <v>0</v>
      </c>
    </row>
    <row r="160" spans="2:11" ht="14.25" outlineLevel="1">
      <c r="B160" s="284" t="s">
        <v>231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4.25" outlineLevel="2">
      <c r="B161" s="276" t="s">
        <v>56</v>
      </c>
      <c r="C161" s="213" t="s">
        <v>171</v>
      </c>
      <c r="D161" s="120">
        <f aca="true" t="shared" si="55" ref="D161:K161">+IF(D$179=0,"",D179-C179)</f>
        <v>438865</v>
      </c>
      <c r="E161" s="120">
        <f t="shared" si="55"/>
        <v>-158610</v>
      </c>
      <c r="F161" s="120">
        <f t="shared" si="55"/>
        <v>471000</v>
      </c>
      <c r="G161" s="120">
        <f t="shared" si="55"/>
        <v>482000</v>
      </c>
      <c r="H161" s="120">
        <f t="shared" si="55"/>
        <v>300000</v>
      </c>
      <c r="I161" s="120">
        <f t="shared" si="55"/>
        <v>300000</v>
      </c>
      <c r="J161" s="120">
        <f t="shared" si="55"/>
        <v>260000</v>
      </c>
      <c r="K161" s="120">
        <f t="shared" si="55"/>
        <v>0</v>
      </c>
    </row>
    <row r="162" spans="2:11" ht="14.25" outlineLevel="2">
      <c r="B162" s="277" t="s">
        <v>217</v>
      </c>
      <c r="C162" s="127" t="s">
        <v>171</v>
      </c>
      <c r="D162" s="121">
        <f aca="true" t="shared" si="56" ref="D162:K162">+IF(D$179=0,"",D180-C180)</f>
        <v>662959</v>
      </c>
      <c r="E162" s="121">
        <f t="shared" si="56"/>
        <v>476000</v>
      </c>
      <c r="F162" s="121">
        <f t="shared" si="56"/>
        <v>471000</v>
      </c>
      <c r="G162" s="121">
        <f t="shared" si="56"/>
        <v>482000</v>
      </c>
      <c r="H162" s="121">
        <f t="shared" si="56"/>
        <v>300000</v>
      </c>
      <c r="I162" s="121">
        <f t="shared" si="56"/>
        <v>300000</v>
      </c>
      <c r="J162" s="121">
        <f t="shared" si="56"/>
        <v>260000</v>
      </c>
      <c r="K162" s="121">
        <f t="shared" si="56"/>
        <v>0</v>
      </c>
    </row>
    <row r="163" spans="2:11" ht="14.25" outlineLevel="2">
      <c r="B163" s="278" t="s">
        <v>216</v>
      </c>
      <c r="C163" s="127" t="s">
        <v>171</v>
      </c>
      <c r="D163" s="121">
        <f aca="true" t="shared" si="57" ref="D163:K163">+IF(D$179=0,"",D181-C181)</f>
        <v>962959</v>
      </c>
      <c r="E163" s="121">
        <f t="shared" si="57"/>
        <v>476000</v>
      </c>
      <c r="F163" s="121">
        <f t="shared" si="57"/>
        <v>471000</v>
      </c>
      <c r="G163" s="121">
        <f t="shared" si="57"/>
        <v>482000</v>
      </c>
      <c r="H163" s="121">
        <f t="shared" si="57"/>
        <v>300000</v>
      </c>
      <c r="I163" s="121">
        <f t="shared" si="57"/>
        <v>300000</v>
      </c>
      <c r="J163" s="121">
        <f t="shared" si="57"/>
        <v>260000</v>
      </c>
      <c r="K163" s="121">
        <f t="shared" si="57"/>
        <v>0</v>
      </c>
    </row>
    <row r="164" spans="2:11" ht="14.25" outlineLevel="2">
      <c r="B164" s="278" t="s">
        <v>223</v>
      </c>
      <c r="C164" s="127" t="s">
        <v>171</v>
      </c>
      <c r="D164" s="121">
        <f aca="true" t="shared" si="58" ref="D164:K164">+IF(D$179=0,"",D182-C182)</f>
        <v>-300000</v>
      </c>
      <c r="E164" s="121">
        <f t="shared" si="58"/>
        <v>0</v>
      </c>
      <c r="F164" s="121">
        <f t="shared" si="58"/>
        <v>0</v>
      </c>
      <c r="G164" s="121">
        <f t="shared" si="58"/>
        <v>0</v>
      </c>
      <c r="H164" s="121">
        <f t="shared" si="58"/>
        <v>0</v>
      </c>
      <c r="I164" s="121">
        <f t="shared" si="58"/>
        <v>0</v>
      </c>
      <c r="J164" s="121">
        <f t="shared" si="58"/>
        <v>0</v>
      </c>
      <c r="K164" s="121">
        <f t="shared" si="58"/>
        <v>0</v>
      </c>
    </row>
    <row r="165" spans="2:11" ht="24" outlineLevel="2">
      <c r="B165" s="278" t="s">
        <v>239</v>
      </c>
      <c r="C165" s="127" t="s">
        <v>171</v>
      </c>
      <c r="D165" s="121">
        <f aca="true" t="shared" si="59" ref="D165:K165">+IF(D$179=0,"",D183-C183)</f>
        <v>0</v>
      </c>
      <c r="E165" s="121">
        <f t="shared" si="59"/>
        <v>0</v>
      </c>
      <c r="F165" s="121">
        <f t="shared" si="59"/>
        <v>0</v>
      </c>
      <c r="G165" s="121">
        <f t="shared" si="59"/>
        <v>0</v>
      </c>
      <c r="H165" s="121">
        <f t="shared" si="59"/>
        <v>0</v>
      </c>
      <c r="I165" s="121">
        <f t="shared" si="59"/>
        <v>0</v>
      </c>
      <c r="J165" s="121">
        <f t="shared" si="59"/>
        <v>0</v>
      </c>
      <c r="K165" s="121">
        <f t="shared" si="59"/>
        <v>0</v>
      </c>
    </row>
    <row r="166" spans="2:11" ht="14.25" outlineLevel="2">
      <c r="B166" s="279" t="s">
        <v>224</v>
      </c>
      <c r="C166" s="214" t="s">
        <v>171</v>
      </c>
      <c r="D166" s="180">
        <f aca="true" t="shared" si="60" ref="D166:K166">+IF(D$179=0,"",D184-C184)</f>
        <v>-300000</v>
      </c>
      <c r="E166" s="180">
        <f t="shared" si="60"/>
        <v>0</v>
      </c>
      <c r="F166" s="180">
        <f t="shared" si="60"/>
        <v>0</v>
      </c>
      <c r="G166" s="180">
        <f t="shared" si="60"/>
        <v>0</v>
      </c>
      <c r="H166" s="180">
        <f t="shared" si="60"/>
        <v>0</v>
      </c>
      <c r="I166" s="180">
        <f t="shared" si="60"/>
        <v>0</v>
      </c>
      <c r="J166" s="180">
        <f t="shared" si="60"/>
        <v>0</v>
      </c>
      <c r="K166" s="180">
        <f t="shared" si="60"/>
        <v>0</v>
      </c>
    </row>
    <row r="167" spans="2:11" ht="14.25" outlineLevel="2">
      <c r="B167" s="276" t="s">
        <v>45</v>
      </c>
      <c r="C167" s="213" t="s">
        <v>171</v>
      </c>
      <c r="D167" s="120">
        <f aca="true" t="shared" si="61" ref="D167:K167">+IF(D$179=0,"",D185-C185)</f>
        <v>-761135</v>
      </c>
      <c r="E167" s="120">
        <f t="shared" si="61"/>
        <v>-1248610</v>
      </c>
      <c r="F167" s="120">
        <f t="shared" si="61"/>
        <v>491000</v>
      </c>
      <c r="G167" s="120">
        <f t="shared" si="61"/>
        <v>402000</v>
      </c>
      <c r="H167" s="120">
        <f t="shared" si="61"/>
        <v>150000</v>
      </c>
      <c r="I167" s="120">
        <f t="shared" si="61"/>
        <v>650000</v>
      </c>
      <c r="J167" s="120">
        <f t="shared" si="61"/>
        <v>270000</v>
      </c>
      <c r="K167" s="120">
        <f t="shared" si="61"/>
        <v>150000</v>
      </c>
    </row>
    <row r="168" spans="2:11" ht="24" outlineLevel="2">
      <c r="B168" s="280" t="s">
        <v>218</v>
      </c>
      <c r="C168" s="127" t="s">
        <v>171</v>
      </c>
      <c r="D168" s="121">
        <f aca="true" t="shared" si="62" ref="D168:K168">+IF(D$179=0,"",D186-C186)</f>
        <v>-591091</v>
      </c>
      <c r="E168" s="121">
        <f t="shared" si="62"/>
        <v>-328610</v>
      </c>
      <c r="F168" s="121">
        <f t="shared" si="62"/>
        <v>491000</v>
      </c>
      <c r="G168" s="121">
        <f t="shared" si="62"/>
        <v>402000</v>
      </c>
      <c r="H168" s="121">
        <f t="shared" si="62"/>
        <v>150000</v>
      </c>
      <c r="I168" s="121">
        <f t="shared" si="62"/>
        <v>650000</v>
      </c>
      <c r="J168" s="121">
        <f t="shared" si="62"/>
        <v>270000</v>
      </c>
      <c r="K168" s="121">
        <f t="shared" si="62"/>
        <v>150000</v>
      </c>
    </row>
    <row r="169" spans="2:11" ht="14.25" outlineLevel="2">
      <c r="B169" s="281" t="s">
        <v>225</v>
      </c>
      <c r="C169" s="127" t="s">
        <v>171</v>
      </c>
      <c r="D169" s="121">
        <f aca="true" t="shared" si="63" ref="D169:K169">+IF(D$179=0,"",D187-C187)</f>
        <v>400084</v>
      </c>
      <c r="E169" s="121">
        <f t="shared" si="63"/>
        <v>561390</v>
      </c>
      <c r="F169" s="121">
        <f t="shared" si="63"/>
        <v>471000</v>
      </c>
      <c r="G169" s="121">
        <f t="shared" si="63"/>
        <v>182000</v>
      </c>
      <c r="H169" s="121">
        <f t="shared" si="63"/>
        <v>300000</v>
      </c>
      <c r="I169" s="121">
        <f t="shared" si="63"/>
        <v>160000</v>
      </c>
      <c r="J169" s="121">
        <f t="shared" si="63"/>
        <v>180000</v>
      </c>
      <c r="K169" s="121">
        <f t="shared" si="63"/>
        <v>310000</v>
      </c>
    </row>
    <row r="170" spans="2:11" ht="24" outlineLevel="2">
      <c r="B170" s="278" t="s">
        <v>227</v>
      </c>
      <c r="C170" s="127" t="s">
        <v>171</v>
      </c>
      <c r="D170" s="121">
        <f aca="true" t="shared" si="64" ref="D170:K170">+IF(D$179=0,"",D188-C188)</f>
        <v>580128</v>
      </c>
      <c r="E170" s="121">
        <f t="shared" si="64"/>
        <v>561390</v>
      </c>
      <c r="F170" s="121">
        <f t="shared" si="64"/>
        <v>471000</v>
      </c>
      <c r="G170" s="121">
        <f t="shared" si="64"/>
        <v>182000</v>
      </c>
      <c r="H170" s="121">
        <f t="shared" si="64"/>
        <v>300000</v>
      </c>
      <c r="I170" s="121">
        <f t="shared" si="64"/>
        <v>160000</v>
      </c>
      <c r="J170" s="121">
        <f t="shared" si="64"/>
        <v>180000</v>
      </c>
      <c r="K170" s="121">
        <f t="shared" si="64"/>
        <v>310000</v>
      </c>
    </row>
    <row r="171" spans="2:11" ht="14.25" outlineLevel="2">
      <c r="B171" s="278" t="s">
        <v>226</v>
      </c>
      <c r="C171" s="127" t="s">
        <v>171</v>
      </c>
      <c r="D171" s="121">
        <f aca="true" t="shared" si="65" ref="D171:K171">+IF(D$179=0,"",D189-C189)</f>
        <v>0</v>
      </c>
      <c r="E171" s="121">
        <f t="shared" si="65"/>
        <v>0</v>
      </c>
      <c r="F171" s="121">
        <f t="shared" si="65"/>
        <v>0</v>
      </c>
      <c r="G171" s="121">
        <f t="shared" si="65"/>
        <v>0</v>
      </c>
      <c r="H171" s="121">
        <f t="shared" si="65"/>
        <v>0</v>
      </c>
      <c r="I171" s="121">
        <f t="shared" si="65"/>
        <v>0</v>
      </c>
      <c r="J171" s="121">
        <f t="shared" si="65"/>
        <v>0</v>
      </c>
      <c r="K171" s="121">
        <f t="shared" si="65"/>
        <v>0</v>
      </c>
    </row>
    <row r="172" spans="2:11" ht="24" outlineLevel="2">
      <c r="B172" s="279" t="s">
        <v>237</v>
      </c>
      <c r="C172" s="214" t="s">
        <v>171</v>
      </c>
      <c r="D172" s="180">
        <f aca="true" t="shared" si="66" ref="D172:K172">+IF(D$179=0,"",D190-C190)</f>
        <v>400084</v>
      </c>
      <c r="E172" s="180">
        <f t="shared" si="66"/>
        <v>586390</v>
      </c>
      <c r="F172" s="180">
        <f t="shared" si="66"/>
        <v>516000</v>
      </c>
      <c r="G172" s="180">
        <f t="shared" si="66"/>
        <v>242000</v>
      </c>
      <c r="H172" s="180">
        <f t="shared" si="66"/>
        <v>345000</v>
      </c>
      <c r="I172" s="180">
        <f t="shared" si="66"/>
        <v>235000</v>
      </c>
      <c r="J172" s="180">
        <f t="shared" si="66"/>
        <v>230000</v>
      </c>
      <c r="K172" s="180">
        <f t="shared" si="66"/>
        <v>360000</v>
      </c>
    </row>
    <row r="173" spans="1:11" s="184" customFormat="1" ht="14.25" outlineLevel="2">
      <c r="A173" s="1"/>
      <c r="B173" s="282" t="s">
        <v>372</v>
      </c>
      <c r="C173" s="257" t="s">
        <v>171</v>
      </c>
      <c r="D173" s="120">
        <f>+IF(D$179=0,"",D191-C191)</f>
        <v>-224094</v>
      </c>
      <c r="E173" s="120">
        <f aca="true" t="shared" si="67" ref="E173:K173">+IF(E$179=0,"",E191-D191)</f>
        <v>-634610</v>
      </c>
      <c r="F173" s="120">
        <f t="shared" si="67"/>
        <v>0</v>
      </c>
      <c r="G173" s="120">
        <f t="shared" si="67"/>
        <v>0</v>
      </c>
      <c r="H173" s="120">
        <f t="shared" si="67"/>
        <v>0</v>
      </c>
      <c r="I173" s="120">
        <f t="shared" si="67"/>
        <v>0</v>
      </c>
      <c r="J173" s="120">
        <f t="shared" si="67"/>
        <v>0</v>
      </c>
      <c r="K173" s="120">
        <f t="shared" si="67"/>
        <v>0</v>
      </c>
    </row>
    <row r="174" spans="1:11" s="184" customFormat="1" ht="14.25" outlineLevel="2">
      <c r="A174" s="1"/>
      <c r="B174" s="278" t="s">
        <v>369</v>
      </c>
      <c r="C174" s="258" t="s">
        <v>171</v>
      </c>
      <c r="D174" s="121">
        <f>+IF(D$179=0,"",D192-C192)</f>
        <v>-164966</v>
      </c>
      <c r="E174" s="121">
        <f aca="true" t="shared" si="68" ref="E174:K174">+IF(E$179=0,"",E192-D192)</f>
        <v>0</v>
      </c>
      <c r="F174" s="121">
        <f t="shared" si="68"/>
        <v>0</v>
      </c>
      <c r="G174" s="121">
        <f t="shared" si="68"/>
        <v>0</v>
      </c>
      <c r="H174" s="121">
        <f t="shared" si="68"/>
        <v>0</v>
      </c>
      <c r="I174" s="121">
        <f t="shared" si="68"/>
        <v>0</v>
      </c>
      <c r="J174" s="121">
        <f t="shared" si="68"/>
        <v>0</v>
      </c>
      <c r="K174" s="121">
        <f t="shared" si="68"/>
        <v>0</v>
      </c>
    </row>
    <row r="175" spans="1:11" s="184" customFormat="1" ht="14.25" outlineLevel="2">
      <c r="A175" s="1"/>
      <c r="B175" s="278" t="s">
        <v>370</v>
      </c>
      <c r="C175" s="259" t="s">
        <v>171</v>
      </c>
      <c r="D175" s="256">
        <f>+IF(D$179=0,"",D193-C193)</f>
        <v>-59128</v>
      </c>
      <c r="E175" s="256">
        <f aca="true" t="shared" si="69" ref="E175:K175">+IF(E$179=0,"",E193-D193)</f>
        <v>-634610</v>
      </c>
      <c r="F175" s="256">
        <f t="shared" si="69"/>
        <v>0</v>
      </c>
      <c r="G175" s="256">
        <f t="shared" si="69"/>
        <v>0</v>
      </c>
      <c r="H175" s="256">
        <f t="shared" si="69"/>
        <v>0</v>
      </c>
      <c r="I175" s="256">
        <f t="shared" si="69"/>
        <v>0</v>
      </c>
      <c r="J175" s="256">
        <f t="shared" si="69"/>
        <v>0</v>
      </c>
      <c r="K175" s="256">
        <f t="shared" si="69"/>
        <v>0</v>
      </c>
    </row>
    <row r="176" spans="1:11" s="184" customFormat="1" ht="24" outlineLevel="2">
      <c r="A176" s="1"/>
      <c r="B176" s="283" t="s">
        <v>368</v>
      </c>
      <c r="C176" s="257" t="s">
        <v>171</v>
      </c>
      <c r="D176" s="120">
        <f>+IF(D$179=0,"",D194-C194)</f>
        <v>-224094</v>
      </c>
      <c r="E176" s="120">
        <f aca="true" t="shared" si="70" ref="E176:K176">+IF(E$179=0,"",E194-D194)</f>
        <v>-634610</v>
      </c>
      <c r="F176" s="120">
        <f t="shared" si="70"/>
        <v>0</v>
      </c>
      <c r="G176" s="120">
        <f t="shared" si="70"/>
        <v>0</v>
      </c>
      <c r="H176" s="120">
        <f t="shared" si="70"/>
        <v>0</v>
      </c>
      <c r="I176" s="120">
        <f t="shared" si="70"/>
        <v>0</v>
      </c>
      <c r="J176" s="120">
        <f t="shared" si="70"/>
        <v>0</v>
      </c>
      <c r="K176" s="120">
        <f t="shared" si="70"/>
        <v>0</v>
      </c>
    </row>
    <row r="177" spans="1:11" s="184" customFormat="1" ht="24" outlineLevel="2">
      <c r="A177" s="1"/>
      <c r="B177" s="279" t="s">
        <v>371</v>
      </c>
      <c r="C177" s="260" t="s">
        <v>171</v>
      </c>
      <c r="D177" s="180">
        <f>+IF(D$179=0,"",D195-C195)</f>
        <v>-164966</v>
      </c>
      <c r="E177" s="180">
        <f aca="true" t="shared" si="71" ref="E177:K177">+IF(E$179=0,"",E195-D195)</f>
        <v>0</v>
      </c>
      <c r="F177" s="180">
        <f t="shared" si="71"/>
        <v>0</v>
      </c>
      <c r="G177" s="180">
        <f t="shared" si="71"/>
        <v>0</v>
      </c>
      <c r="H177" s="180">
        <f t="shared" si="71"/>
        <v>0</v>
      </c>
      <c r="I177" s="180">
        <f t="shared" si="71"/>
        <v>0</v>
      </c>
      <c r="J177" s="180">
        <f t="shared" si="71"/>
        <v>0</v>
      </c>
      <c r="K177" s="180">
        <f t="shared" si="71"/>
        <v>0</v>
      </c>
    </row>
    <row r="178" spans="2:11" ht="14.25" outlineLevel="1">
      <c r="B178" s="284" t="s">
        <v>229</v>
      </c>
      <c r="C178" s="5"/>
      <c r="D178" s="5"/>
      <c r="E178" s="5"/>
      <c r="F178" s="5"/>
      <c r="G178" s="5"/>
      <c r="H178" s="5"/>
      <c r="I178" s="5"/>
      <c r="J178" s="5"/>
      <c r="K178" s="5"/>
    </row>
    <row r="179" spans="1:233" s="184" customFormat="1" ht="14.25" outlineLevel="2">
      <c r="A179" s="1"/>
      <c r="B179" s="276" t="s">
        <v>56</v>
      </c>
      <c r="C179" s="120">
        <f aca="true" t="shared" si="72" ref="C179:K179">+C6</f>
        <v>23266745</v>
      </c>
      <c r="D179" s="120">
        <f t="shared" si="72"/>
        <v>23705610</v>
      </c>
      <c r="E179" s="120">
        <f t="shared" si="72"/>
        <v>23547000</v>
      </c>
      <c r="F179" s="120">
        <f t="shared" si="72"/>
        <v>24018000</v>
      </c>
      <c r="G179" s="120">
        <f t="shared" si="72"/>
        <v>24500000</v>
      </c>
      <c r="H179" s="120">
        <f t="shared" si="72"/>
        <v>24800000</v>
      </c>
      <c r="I179" s="120">
        <f t="shared" si="72"/>
        <v>25100000</v>
      </c>
      <c r="J179" s="120">
        <f t="shared" si="72"/>
        <v>25360000</v>
      </c>
      <c r="K179" s="120">
        <f t="shared" si="72"/>
        <v>25360000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</row>
    <row r="180" spans="2:11" ht="14.25" outlineLevel="2">
      <c r="B180" s="277" t="s">
        <v>217</v>
      </c>
      <c r="C180" s="121">
        <f aca="true" t="shared" si="73" ref="C180:K180">+(C6-C9-C13)</f>
        <v>22408041</v>
      </c>
      <c r="D180" s="121">
        <f t="shared" si="73"/>
        <v>23071000</v>
      </c>
      <c r="E180" s="121">
        <f t="shared" si="73"/>
        <v>23547000</v>
      </c>
      <c r="F180" s="121">
        <f t="shared" si="73"/>
        <v>24018000</v>
      </c>
      <c r="G180" s="121">
        <f t="shared" si="73"/>
        <v>24500000</v>
      </c>
      <c r="H180" s="121">
        <f t="shared" si="73"/>
        <v>24800000</v>
      </c>
      <c r="I180" s="121">
        <f t="shared" si="73"/>
        <v>25100000</v>
      </c>
      <c r="J180" s="121">
        <f t="shared" si="73"/>
        <v>25360000</v>
      </c>
      <c r="K180" s="121">
        <f t="shared" si="73"/>
        <v>25360000</v>
      </c>
    </row>
    <row r="181" spans="2:11" ht="14.25" outlineLevel="2">
      <c r="B181" s="278" t="s">
        <v>216</v>
      </c>
      <c r="C181" s="121">
        <f aca="true" t="shared" si="74" ref="C181:K181">+(C7-C9)</f>
        <v>22108041</v>
      </c>
      <c r="D181" s="121">
        <f t="shared" si="74"/>
        <v>23071000</v>
      </c>
      <c r="E181" s="121">
        <f t="shared" si="74"/>
        <v>23547000</v>
      </c>
      <c r="F181" s="121">
        <f t="shared" si="74"/>
        <v>24018000</v>
      </c>
      <c r="G181" s="121">
        <f t="shared" si="74"/>
        <v>24500000</v>
      </c>
      <c r="H181" s="121">
        <f t="shared" si="74"/>
        <v>24800000</v>
      </c>
      <c r="I181" s="121">
        <f t="shared" si="74"/>
        <v>25100000</v>
      </c>
      <c r="J181" s="121">
        <f t="shared" si="74"/>
        <v>25360000</v>
      </c>
      <c r="K181" s="121">
        <f t="shared" si="74"/>
        <v>25360000</v>
      </c>
    </row>
    <row r="182" spans="1:233" s="184" customFormat="1" ht="14.25" outlineLevel="2">
      <c r="A182" s="1"/>
      <c r="B182" s="278" t="s">
        <v>223</v>
      </c>
      <c r="C182" s="121">
        <f aca="true" t="shared" si="75" ref="C182:K182">+(C10-C13)</f>
        <v>300000</v>
      </c>
      <c r="D182" s="121">
        <f t="shared" si="75"/>
        <v>0</v>
      </c>
      <c r="E182" s="121">
        <f t="shared" si="75"/>
        <v>0</v>
      </c>
      <c r="F182" s="121">
        <f t="shared" si="75"/>
        <v>0</v>
      </c>
      <c r="G182" s="121">
        <f t="shared" si="75"/>
        <v>0</v>
      </c>
      <c r="H182" s="121">
        <f t="shared" si="75"/>
        <v>0</v>
      </c>
      <c r="I182" s="121">
        <f t="shared" si="75"/>
        <v>0</v>
      </c>
      <c r="J182" s="121">
        <f t="shared" si="75"/>
        <v>0</v>
      </c>
      <c r="K182" s="121">
        <f t="shared" si="75"/>
        <v>0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</row>
    <row r="183" spans="2:11" ht="24" outlineLevel="2">
      <c r="B183" s="278" t="s">
        <v>239</v>
      </c>
      <c r="C183" s="121">
        <f aca="true" t="shared" si="76" ref="C183:K183">+(C10-C11-C13)</f>
        <v>0</v>
      </c>
      <c r="D183" s="121">
        <f t="shared" si="76"/>
        <v>0</v>
      </c>
      <c r="E183" s="121">
        <f t="shared" si="76"/>
        <v>0</v>
      </c>
      <c r="F183" s="121">
        <f t="shared" si="76"/>
        <v>0</v>
      </c>
      <c r="G183" s="121">
        <f t="shared" si="76"/>
        <v>0</v>
      </c>
      <c r="H183" s="121">
        <f t="shared" si="76"/>
        <v>0</v>
      </c>
      <c r="I183" s="121">
        <f t="shared" si="76"/>
        <v>0</v>
      </c>
      <c r="J183" s="121">
        <f t="shared" si="76"/>
        <v>0</v>
      </c>
      <c r="K183" s="121">
        <f t="shared" si="76"/>
        <v>0</v>
      </c>
    </row>
    <row r="184" spans="1:233" s="184" customFormat="1" ht="14.25" outlineLevel="2">
      <c r="A184" s="1"/>
      <c r="B184" s="279" t="s">
        <v>224</v>
      </c>
      <c r="C184" s="180">
        <f aca="true" t="shared" si="77" ref="C184:K184">+C11</f>
        <v>300000</v>
      </c>
      <c r="D184" s="180">
        <f t="shared" si="77"/>
        <v>0</v>
      </c>
      <c r="E184" s="180">
        <f t="shared" si="77"/>
        <v>0</v>
      </c>
      <c r="F184" s="180">
        <f t="shared" si="77"/>
        <v>0</v>
      </c>
      <c r="G184" s="180">
        <f t="shared" si="77"/>
        <v>0</v>
      </c>
      <c r="H184" s="180">
        <f t="shared" si="77"/>
        <v>0</v>
      </c>
      <c r="I184" s="180">
        <f t="shared" si="77"/>
        <v>0</v>
      </c>
      <c r="J184" s="180">
        <f t="shared" si="77"/>
        <v>0</v>
      </c>
      <c r="K184" s="180">
        <f t="shared" si="77"/>
        <v>0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</row>
    <row r="185" spans="2:11" ht="14.25" outlineLevel="2">
      <c r="B185" s="276" t="s">
        <v>45</v>
      </c>
      <c r="C185" s="120">
        <f aca="true" t="shared" si="78" ref="C185:K185">+C14</f>
        <v>24766745</v>
      </c>
      <c r="D185" s="120">
        <f t="shared" si="78"/>
        <v>24005610</v>
      </c>
      <c r="E185" s="120">
        <f t="shared" si="78"/>
        <v>22757000</v>
      </c>
      <c r="F185" s="120">
        <f t="shared" si="78"/>
        <v>23248000</v>
      </c>
      <c r="G185" s="120">
        <f t="shared" si="78"/>
        <v>23650000</v>
      </c>
      <c r="H185" s="120">
        <f t="shared" si="78"/>
        <v>23800000</v>
      </c>
      <c r="I185" s="120">
        <f t="shared" si="78"/>
        <v>24450000</v>
      </c>
      <c r="J185" s="120">
        <f t="shared" si="78"/>
        <v>24720000</v>
      </c>
      <c r="K185" s="120">
        <f t="shared" si="78"/>
        <v>24870000</v>
      </c>
    </row>
    <row r="186" spans="1:233" s="184" customFormat="1" ht="24" outlineLevel="2">
      <c r="A186" s="1"/>
      <c r="B186" s="280" t="s">
        <v>218</v>
      </c>
      <c r="C186" s="121">
        <f aca="true" t="shared" si="79" ref="C186:K186">+C14-C20-C25</f>
        <v>23676701</v>
      </c>
      <c r="D186" s="121">
        <f t="shared" si="79"/>
        <v>23085610</v>
      </c>
      <c r="E186" s="121">
        <f t="shared" si="79"/>
        <v>22757000</v>
      </c>
      <c r="F186" s="121">
        <f t="shared" si="79"/>
        <v>23248000</v>
      </c>
      <c r="G186" s="121">
        <f t="shared" si="79"/>
        <v>23650000</v>
      </c>
      <c r="H186" s="121">
        <f t="shared" si="79"/>
        <v>23800000</v>
      </c>
      <c r="I186" s="121">
        <f t="shared" si="79"/>
        <v>24450000</v>
      </c>
      <c r="J186" s="121">
        <f t="shared" si="79"/>
        <v>24720000</v>
      </c>
      <c r="K186" s="121">
        <f t="shared" si="79"/>
        <v>24870000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</row>
    <row r="187" spans="1:233" s="184" customFormat="1" ht="14.25" outlineLevel="2">
      <c r="A187" s="1"/>
      <c r="B187" s="281" t="s">
        <v>225</v>
      </c>
      <c r="C187" s="121">
        <f aca="true" t="shared" si="80" ref="C187:K187">+C15</f>
        <v>21485526</v>
      </c>
      <c r="D187" s="121">
        <f t="shared" si="80"/>
        <v>21885610</v>
      </c>
      <c r="E187" s="121">
        <f t="shared" si="80"/>
        <v>22447000</v>
      </c>
      <c r="F187" s="121">
        <f t="shared" si="80"/>
        <v>22918000</v>
      </c>
      <c r="G187" s="121">
        <f t="shared" si="80"/>
        <v>23100000</v>
      </c>
      <c r="H187" s="121">
        <f t="shared" si="80"/>
        <v>23400000</v>
      </c>
      <c r="I187" s="121">
        <f t="shared" si="80"/>
        <v>23560000</v>
      </c>
      <c r="J187" s="121">
        <f t="shared" si="80"/>
        <v>23740000</v>
      </c>
      <c r="K187" s="121">
        <f t="shared" si="80"/>
        <v>24050000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</row>
    <row r="188" spans="2:11" ht="24" outlineLevel="2">
      <c r="B188" s="278" t="s">
        <v>227</v>
      </c>
      <c r="C188" s="121">
        <f aca="true" t="shared" si="81" ref="C188:K188">+C15-C20</f>
        <v>21305482</v>
      </c>
      <c r="D188" s="121">
        <f t="shared" si="81"/>
        <v>21885610</v>
      </c>
      <c r="E188" s="121">
        <f t="shared" si="81"/>
        <v>22447000</v>
      </c>
      <c r="F188" s="121">
        <f t="shared" si="81"/>
        <v>22918000</v>
      </c>
      <c r="G188" s="121">
        <f t="shared" si="81"/>
        <v>23100000</v>
      </c>
      <c r="H188" s="121">
        <f t="shared" si="81"/>
        <v>23400000</v>
      </c>
      <c r="I188" s="121">
        <f t="shared" si="81"/>
        <v>23560000</v>
      </c>
      <c r="J188" s="121">
        <f t="shared" si="81"/>
        <v>23740000</v>
      </c>
      <c r="K188" s="121">
        <f t="shared" si="81"/>
        <v>24050000</v>
      </c>
    </row>
    <row r="189" spans="1:233" s="184" customFormat="1" ht="14.25" outlineLevel="2">
      <c r="A189" s="1"/>
      <c r="B189" s="278" t="s">
        <v>226</v>
      </c>
      <c r="C189" s="121">
        <f aca="true" t="shared" si="82" ref="C189:K189">+C60</f>
        <v>0</v>
      </c>
      <c r="D189" s="121">
        <f t="shared" si="82"/>
        <v>0</v>
      </c>
      <c r="E189" s="121">
        <f t="shared" si="82"/>
        <v>0</v>
      </c>
      <c r="F189" s="121">
        <f t="shared" si="82"/>
        <v>0</v>
      </c>
      <c r="G189" s="121">
        <f t="shared" si="82"/>
        <v>0</v>
      </c>
      <c r="H189" s="121">
        <f t="shared" si="82"/>
        <v>0</v>
      </c>
      <c r="I189" s="121">
        <f t="shared" si="82"/>
        <v>0</v>
      </c>
      <c r="J189" s="121">
        <f t="shared" si="82"/>
        <v>0</v>
      </c>
      <c r="K189" s="121">
        <f t="shared" si="82"/>
        <v>0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</row>
    <row r="190" spans="2:11" ht="24" outlineLevel="2">
      <c r="B190" s="279" t="s">
        <v>237</v>
      </c>
      <c r="C190" s="180">
        <f aca="true" t="shared" si="83" ref="C190:K190">+C15-C60-C22-C17</f>
        <v>21085526</v>
      </c>
      <c r="D190" s="180">
        <f t="shared" si="83"/>
        <v>21485610</v>
      </c>
      <c r="E190" s="180">
        <f t="shared" si="83"/>
        <v>22072000</v>
      </c>
      <c r="F190" s="180">
        <f t="shared" si="83"/>
        <v>22588000</v>
      </c>
      <c r="G190" s="180">
        <f t="shared" si="83"/>
        <v>22830000</v>
      </c>
      <c r="H190" s="180">
        <f t="shared" si="83"/>
        <v>23175000</v>
      </c>
      <c r="I190" s="180">
        <f t="shared" si="83"/>
        <v>23410000</v>
      </c>
      <c r="J190" s="180">
        <f t="shared" si="83"/>
        <v>23640000</v>
      </c>
      <c r="K190" s="180">
        <f t="shared" si="83"/>
        <v>24000000</v>
      </c>
    </row>
    <row r="191" spans="1:11" s="184" customFormat="1" ht="14.25" outlineLevel="2">
      <c r="A191" s="1"/>
      <c r="B191" s="282" t="s">
        <v>372</v>
      </c>
      <c r="C191" s="120">
        <f>+C192+C193</f>
        <v>858704</v>
      </c>
      <c r="D191" s="120">
        <f aca="true" t="shared" si="84" ref="D191:K191">+D192+D193</f>
        <v>634610</v>
      </c>
      <c r="E191" s="120">
        <f t="shared" si="84"/>
        <v>0</v>
      </c>
      <c r="F191" s="120">
        <f t="shared" si="84"/>
        <v>0</v>
      </c>
      <c r="G191" s="120">
        <f t="shared" si="84"/>
        <v>0</v>
      </c>
      <c r="H191" s="120">
        <f t="shared" si="84"/>
        <v>0</v>
      </c>
      <c r="I191" s="120">
        <f t="shared" si="84"/>
        <v>0</v>
      </c>
      <c r="J191" s="120">
        <f t="shared" si="84"/>
        <v>0</v>
      </c>
      <c r="K191" s="120">
        <f t="shared" si="84"/>
        <v>0</v>
      </c>
    </row>
    <row r="192" spans="1:11" s="184" customFormat="1" ht="14.25" outlineLevel="2">
      <c r="A192" s="1"/>
      <c r="B192" s="278" t="s">
        <v>369</v>
      </c>
      <c r="C192" s="121">
        <f aca="true" t="shared" si="85" ref="C192:K192">+C9</f>
        <v>164966</v>
      </c>
      <c r="D192" s="121">
        <f t="shared" si="85"/>
        <v>0</v>
      </c>
      <c r="E192" s="121">
        <f t="shared" si="85"/>
        <v>0</v>
      </c>
      <c r="F192" s="121">
        <f t="shared" si="85"/>
        <v>0</v>
      </c>
      <c r="G192" s="121">
        <f t="shared" si="85"/>
        <v>0</v>
      </c>
      <c r="H192" s="121">
        <f t="shared" si="85"/>
        <v>0</v>
      </c>
      <c r="I192" s="121">
        <f t="shared" si="85"/>
        <v>0</v>
      </c>
      <c r="J192" s="121">
        <f t="shared" si="85"/>
        <v>0</v>
      </c>
      <c r="K192" s="121">
        <f t="shared" si="85"/>
        <v>0</v>
      </c>
    </row>
    <row r="193" spans="1:11" s="184" customFormat="1" ht="14.25" outlineLevel="2">
      <c r="A193" s="1"/>
      <c r="B193" s="278" t="s">
        <v>370</v>
      </c>
      <c r="C193" s="256">
        <f aca="true" t="shared" si="86" ref="C193:K193">+C13</f>
        <v>693738</v>
      </c>
      <c r="D193" s="256">
        <f t="shared" si="86"/>
        <v>634610</v>
      </c>
      <c r="E193" s="256">
        <f t="shared" si="86"/>
        <v>0</v>
      </c>
      <c r="F193" s="256">
        <f t="shared" si="86"/>
        <v>0</v>
      </c>
      <c r="G193" s="256">
        <f t="shared" si="86"/>
        <v>0</v>
      </c>
      <c r="H193" s="256">
        <f t="shared" si="86"/>
        <v>0</v>
      </c>
      <c r="I193" s="256">
        <f t="shared" si="86"/>
        <v>0</v>
      </c>
      <c r="J193" s="256">
        <f t="shared" si="86"/>
        <v>0</v>
      </c>
      <c r="K193" s="256">
        <f t="shared" si="86"/>
        <v>0</v>
      </c>
    </row>
    <row r="194" spans="1:11" s="184" customFormat="1" ht="24" outlineLevel="2">
      <c r="A194" s="1"/>
      <c r="B194" s="283" t="s">
        <v>368</v>
      </c>
      <c r="C194" s="120">
        <f aca="true" t="shared" si="87" ref="C194:K194">+C21+C26</f>
        <v>858704</v>
      </c>
      <c r="D194" s="120">
        <f t="shared" si="87"/>
        <v>634610</v>
      </c>
      <c r="E194" s="120">
        <f t="shared" si="87"/>
        <v>0</v>
      </c>
      <c r="F194" s="120">
        <f t="shared" si="87"/>
        <v>0</v>
      </c>
      <c r="G194" s="120">
        <f t="shared" si="87"/>
        <v>0</v>
      </c>
      <c r="H194" s="120">
        <f t="shared" si="87"/>
        <v>0</v>
      </c>
      <c r="I194" s="120">
        <f t="shared" si="87"/>
        <v>0</v>
      </c>
      <c r="J194" s="120">
        <f t="shared" si="87"/>
        <v>0</v>
      </c>
      <c r="K194" s="120">
        <f t="shared" si="87"/>
        <v>0</v>
      </c>
    </row>
    <row r="195" spans="1:11" s="184" customFormat="1" ht="24" outlineLevel="2">
      <c r="A195" s="1"/>
      <c r="B195" s="279" t="s">
        <v>371</v>
      </c>
      <c r="C195" s="180">
        <f aca="true" t="shared" si="88" ref="C195:K195">+C21</f>
        <v>164966</v>
      </c>
      <c r="D195" s="180">
        <f t="shared" si="88"/>
        <v>0</v>
      </c>
      <c r="E195" s="180">
        <f t="shared" si="88"/>
        <v>0</v>
      </c>
      <c r="F195" s="180">
        <f t="shared" si="88"/>
        <v>0</v>
      </c>
      <c r="G195" s="180">
        <f t="shared" si="88"/>
        <v>0</v>
      </c>
      <c r="H195" s="180">
        <f t="shared" si="88"/>
        <v>0</v>
      </c>
      <c r="I195" s="180">
        <f t="shared" si="88"/>
        <v>0</v>
      </c>
      <c r="J195" s="180">
        <f t="shared" si="88"/>
        <v>0</v>
      </c>
      <c r="K195" s="180">
        <f t="shared" si="88"/>
        <v>0</v>
      </c>
    </row>
    <row r="196" spans="1:233" s="184" customFormat="1" ht="14.25">
      <c r="A196" s="1"/>
      <c r="B196" s="211"/>
      <c r="C196" s="212"/>
      <c r="D196" s="212"/>
      <c r="E196" s="212"/>
      <c r="F196" s="212"/>
      <c r="G196" s="212"/>
      <c r="H196" s="212"/>
      <c r="I196" s="212"/>
      <c r="J196" s="212"/>
      <c r="K196" s="212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</row>
    <row r="197" spans="1:233" s="184" customFormat="1" ht="14.25">
      <c r="A197" s="1"/>
      <c r="B197" s="216" t="s">
        <v>220</v>
      </c>
      <c r="C197" s="1"/>
      <c r="D197" s="1"/>
      <c r="E197" s="1"/>
      <c r="F197" s="1"/>
      <c r="G197" s="1"/>
      <c r="H197" s="1"/>
      <c r="I197" s="1"/>
      <c r="J197" s="1"/>
      <c r="K197" s="1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</row>
    <row r="198" spans="2:11" ht="14.25" outlineLevel="1">
      <c r="B198" s="44" t="s">
        <v>56</v>
      </c>
      <c r="C198" s="207" t="s">
        <v>171</v>
      </c>
      <c r="D198" s="200">
        <f aca="true" t="shared" si="89" ref="D198:K199">+IF(C6&lt;&gt;0,D6/C6,0)</f>
        <v>1.0188623290451673</v>
      </c>
      <c r="E198" s="200">
        <f t="shared" si="89"/>
        <v>0.9933091787133932</v>
      </c>
      <c r="F198" s="200">
        <f t="shared" si="89"/>
        <v>1.0200025480952988</v>
      </c>
      <c r="G198" s="200">
        <f t="shared" si="89"/>
        <v>1.020068282121742</v>
      </c>
      <c r="H198" s="200">
        <f t="shared" si="89"/>
        <v>1.0122448979591836</v>
      </c>
      <c r="I198" s="200">
        <f t="shared" si="89"/>
        <v>1.0120967741935485</v>
      </c>
      <c r="J198" s="200">
        <f t="shared" si="89"/>
        <v>1.0103585657370517</v>
      </c>
      <c r="K198" s="200">
        <f t="shared" si="89"/>
        <v>1</v>
      </c>
    </row>
    <row r="199" spans="2:11" ht="14.25" outlineLevel="1">
      <c r="B199" s="47" t="s">
        <v>57</v>
      </c>
      <c r="C199" s="208" t="s">
        <v>171</v>
      </c>
      <c r="D199" s="201">
        <f t="shared" si="89"/>
        <v>1.0358278071748461</v>
      </c>
      <c r="E199" s="201">
        <f t="shared" si="89"/>
        <v>1.0206319622036322</v>
      </c>
      <c r="F199" s="201">
        <f t="shared" si="89"/>
        <v>1.0200025480952988</v>
      </c>
      <c r="G199" s="201">
        <f t="shared" si="89"/>
        <v>1.020068282121742</v>
      </c>
      <c r="H199" s="201">
        <f t="shared" si="89"/>
        <v>1.0122448979591836</v>
      </c>
      <c r="I199" s="201">
        <f t="shared" si="89"/>
        <v>1.0120967741935485</v>
      </c>
      <c r="J199" s="201">
        <f t="shared" si="89"/>
        <v>1.0103585657370517</v>
      </c>
      <c r="K199" s="201">
        <f t="shared" si="89"/>
        <v>1</v>
      </c>
    </row>
    <row r="200" spans="2:11" ht="14.25" outlineLevel="1">
      <c r="B200" s="204" t="s">
        <v>221</v>
      </c>
      <c r="C200" s="208" t="s">
        <v>171</v>
      </c>
      <c r="D200" s="201">
        <f aca="true" t="shared" si="90" ref="D200:K200">+IF((C9)&lt;&gt;0,(D9)/(C9),0)</f>
        <v>0</v>
      </c>
      <c r="E200" s="201">
        <f t="shared" si="90"/>
        <v>0</v>
      </c>
      <c r="F200" s="201">
        <f t="shared" si="90"/>
        <v>0</v>
      </c>
      <c r="G200" s="201">
        <f t="shared" si="90"/>
        <v>0</v>
      </c>
      <c r="H200" s="201">
        <f t="shared" si="90"/>
        <v>0</v>
      </c>
      <c r="I200" s="201">
        <f t="shared" si="90"/>
        <v>0</v>
      </c>
      <c r="J200" s="201">
        <f t="shared" si="90"/>
        <v>0</v>
      </c>
      <c r="K200" s="201">
        <f t="shared" si="90"/>
        <v>0</v>
      </c>
    </row>
    <row r="201" spans="2:11" ht="14.25" outlineLevel="1">
      <c r="B201" s="47" t="s">
        <v>82</v>
      </c>
      <c r="C201" s="208" t="s">
        <v>171</v>
      </c>
      <c r="D201" s="201">
        <f aca="true" t="shared" si="91" ref="D201:K202">+IF(C10&lt;&gt;0,D10/C10,0)</f>
        <v>0.638608969366171</v>
      </c>
      <c r="E201" s="201">
        <f t="shared" si="91"/>
        <v>0</v>
      </c>
      <c r="F201" s="201">
        <f t="shared" si="91"/>
        <v>0</v>
      </c>
      <c r="G201" s="201">
        <f t="shared" si="91"/>
        <v>0</v>
      </c>
      <c r="H201" s="201">
        <f t="shared" si="91"/>
        <v>0</v>
      </c>
      <c r="I201" s="201">
        <f t="shared" si="91"/>
        <v>0</v>
      </c>
      <c r="J201" s="201">
        <f t="shared" si="91"/>
        <v>0</v>
      </c>
      <c r="K201" s="201">
        <f t="shared" si="91"/>
        <v>0</v>
      </c>
    </row>
    <row r="202" spans="2:11" ht="14.25" outlineLevel="1">
      <c r="B202" s="50" t="s">
        <v>83</v>
      </c>
      <c r="C202" s="208" t="s">
        <v>171</v>
      </c>
      <c r="D202" s="201">
        <f t="shared" si="91"/>
        <v>0</v>
      </c>
      <c r="E202" s="201">
        <f t="shared" si="91"/>
        <v>0</v>
      </c>
      <c r="F202" s="201">
        <f t="shared" si="91"/>
        <v>0</v>
      </c>
      <c r="G202" s="201">
        <f t="shared" si="91"/>
        <v>0</v>
      </c>
      <c r="H202" s="201">
        <f t="shared" si="91"/>
        <v>0</v>
      </c>
      <c r="I202" s="201">
        <f t="shared" si="91"/>
        <v>0</v>
      </c>
      <c r="J202" s="201">
        <f t="shared" si="91"/>
        <v>0</v>
      </c>
      <c r="K202" s="201">
        <f t="shared" si="91"/>
        <v>0</v>
      </c>
    </row>
    <row r="203" spans="2:11" ht="14.25" outlineLevel="1">
      <c r="B203" s="203" t="s">
        <v>222</v>
      </c>
      <c r="C203" s="209" t="s">
        <v>171</v>
      </c>
      <c r="D203" s="202">
        <f aca="true" t="shared" si="92" ref="D203:K203">+IF((C13)&lt;&gt;0,(D13)/(C13),0)</f>
        <v>0.9147689761840926</v>
      </c>
      <c r="E203" s="202">
        <f t="shared" si="92"/>
        <v>0</v>
      </c>
      <c r="F203" s="202">
        <f t="shared" si="92"/>
        <v>0</v>
      </c>
      <c r="G203" s="202">
        <f t="shared" si="92"/>
        <v>0</v>
      </c>
      <c r="H203" s="202">
        <f t="shared" si="92"/>
        <v>0</v>
      </c>
      <c r="I203" s="202">
        <f t="shared" si="92"/>
        <v>0</v>
      </c>
      <c r="J203" s="202">
        <f t="shared" si="92"/>
        <v>0</v>
      </c>
      <c r="K203" s="202">
        <f t="shared" si="92"/>
        <v>0</v>
      </c>
    </row>
    <row r="204" spans="2:11" ht="14.25" outlineLevel="1">
      <c r="B204" s="44" t="s">
        <v>45</v>
      </c>
      <c r="C204" s="207" t="s">
        <v>171</v>
      </c>
      <c r="D204" s="200">
        <f aca="true" t="shared" si="93" ref="D204:K206">+IF(C14&lt;&gt;0,D14/C14,0)</f>
        <v>0.9692678630155073</v>
      </c>
      <c r="E204" s="200">
        <f t="shared" si="93"/>
        <v>0.9479867414325235</v>
      </c>
      <c r="F204" s="200">
        <f t="shared" si="93"/>
        <v>1.0215757788812234</v>
      </c>
      <c r="G204" s="200">
        <f t="shared" si="93"/>
        <v>1.0172918100481763</v>
      </c>
      <c r="H204" s="200">
        <f t="shared" si="93"/>
        <v>1.0063424947145878</v>
      </c>
      <c r="I204" s="200">
        <f t="shared" si="93"/>
        <v>1.0273109243697478</v>
      </c>
      <c r="J204" s="200">
        <f t="shared" si="93"/>
        <v>1.011042944785276</v>
      </c>
      <c r="K204" s="200">
        <f t="shared" si="93"/>
        <v>1.0060679611650485</v>
      </c>
    </row>
    <row r="205" spans="2:11" ht="14.25" outlineLevel="1">
      <c r="B205" s="47" t="s">
        <v>58</v>
      </c>
      <c r="C205" s="208" t="s">
        <v>171</v>
      </c>
      <c r="D205" s="201">
        <f t="shared" si="93"/>
        <v>1.0186210940332576</v>
      </c>
      <c r="E205" s="201">
        <f t="shared" si="93"/>
        <v>1.0256511013401044</v>
      </c>
      <c r="F205" s="201">
        <f t="shared" si="93"/>
        <v>1.0209827593887824</v>
      </c>
      <c r="G205" s="201">
        <f t="shared" si="93"/>
        <v>1.0079413561392792</v>
      </c>
      <c r="H205" s="201">
        <f t="shared" si="93"/>
        <v>1.0129870129870129</v>
      </c>
      <c r="I205" s="201">
        <f t="shared" si="93"/>
        <v>1.0068376068376068</v>
      </c>
      <c r="J205" s="201">
        <f t="shared" si="93"/>
        <v>1.0076400679117148</v>
      </c>
      <c r="K205" s="201">
        <f t="shared" si="93"/>
        <v>1.0130581297388375</v>
      </c>
    </row>
    <row r="206" spans="2:11" ht="14.25" outlineLevel="1">
      <c r="B206" s="49" t="s">
        <v>86</v>
      </c>
      <c r="C206" s="208" t="s">
        <v>171</v>
      </c>
      <c r="D206" s="201">
        <f t="shared" si="93"/>
        <v>1.0189743428738747</v>
      </c>
      <c r="E206" s="201">
        <f t="shared" si="93"/>
        <v>1.0272922202348456</v>
      </c>
      <c r="F206" s="201">
        <f t="shared" si="93"/>
        <v>1.023378035520116</v>
      </c>
      <c r="G206" s="201">
        <f t="shared" si="93"/>
        <v>1.0107136532672216</v>
      </c>
      <c r="H206" s="201">
        <f t="shared" si="93"/>
        <v>1.0151116951379764</v>
      </c>
      <c r="I206" s="201">
        <f t="shared" si="93"/>
        <v>1.0101402373247033</v>
      </c>
      <c r="J206" s="201">
        <f t="shared" si="93"/>
        <v>1.00982486117044</v>
      </c>
      <c r="K206" s="201">
        <f t="shared" si="93"/>
        <v>1.015228426395939</v>
      </c>
    </row>
    <row r="207" spans="2:11" ht="24" outlineLevel="1">
      <c r="B207" s="53" t="s">
        <v>132</v>
      </c>
      <c r="C207" s="208" t="s">
        <v>171</v>
      </c>
      <c r="D207" s="201">
        <f aca="true" t="shared" si="94" ref="D207:K207">+IF(C20&lt;&gt;0,D20/C20,0)</f>
        <v>0</v>
      </c>
      <c r="E207" s="201">
        <f t="shared" si="94"/>
        <v>0</v>
      </c>
      <c r="F207" s="201">
        <f t="shared" si="94"/>
        <v>0</v>
      </c>
      <c r="G207" s="201">
        <f t="shared" si="94"/>
        <v>0</v>
      </c>
      <c r="H207" s="201">
        <f t="shared" si="94"/>
        <v>0</v>
      </c>
      <c r="I207" s="201">
        <f t="shared" si="94"/>
        <v>0</v>
      </c>
      <c r="J207" s="201">
        <f t="shared" si="94"/>
        <v>0</v>
      </c>
      <c r="K207" s="201">
        <f t="shared" si="94"/>
        <v>0</v>
      </c>
    </row>
    <row r="208" spans="2:11" ht="14.25" outlineLevel="1">
      <c r="B208" s="53" t="s">
        <v>134</v>
      </c>
      <c r="C208" s="208" t="s">
        <v>171</v>
      </c>
      <c r="D208" s="201">
        <f aca="true" t="shared" si="95" ref="D208:K209">+IF(C17&lt;&gt;0,D17/C17,0)</f>
        <v>0</v>
      </c>
      <c r="E208" s="201">
        <f t="shared" si="95"/>
        <v>0</v>
      </c>
      <c r="F208" s="201">
        <f t="shared" si="95"/>
        <v>0</v>
      </c>
      <c r="G208" s="201">
        <f t="shared" si="95"/>
        <v>0</v>
      </c>
      <c r="H208" s="201">
        <f t="shared" si="95"/>
        <v>0</v>
      </c>
      <c r="I208" s="201">
        <f t="shared" si="95"/>
        <v>0</v>
      </c>
      <c r="J208" s="201">
        <f t="shared" si="95"/>
        <v>0</v>
      </c>
      <c r="K208" s="201">
        <f t="shared" si="95"/>
        <v>0</v>
      </c>
    </row>
    <row r="209" spans="2:11" ht="24" outlineLevel="1">
      <c r="B209" s="54" t="s">
        <v>135</v>
      </c>
      <c r="C209" s="208" t="s">
        <v>171</v>
      </c>
      <c r="D209" s="201">
        <f t="shared" si="95"/>
        <v>0</v>
      </c>
      <c r="E209" s="201">
        <f t="shared" si="95"/>
        <v>0</v>
      </c>
      <c r="F209" s="201">
        <f t="shared" si="95"/>
        <v>0</v>
      </c>
      <c r="G209" s="201">
        <f t="shared" si="95"/>
        <v>0</v>
      </c>
      <c r="H209" s="201">
        <f t="shared" si="95"/>
        <v>0</v>
      </c>
      <c r="I209" s="201">
        <f t="shared" si="95"/>
        <v>0</v>
      </c>
      <c r="J209" s="201">
        <f t="shared" si="95"/>
        <v>0</v>
      </c>
      <c r="K209" s="201">
        <f t="shared" si="95"/>
        <v>0</v>
      </c>
    </row>
    <row r="210" spans="2:11" ht="14.25" outlineLevel="1">
      <c r="B210" s="53" t="s">
        <v>12</v>
      </c>
      <c r="C210" s="208" t="s">
        <v>171</v>
      </c>
      <c r="D210" s="201">
        <f aca="true" t="shared" si="96" ref="D210:K213">+IF(C22&lt;&gt;0,D22/C22,0)</f>
        <v>1</v>
      </c>
      <c r="E210" s="201">
        <f t="shared" si="96"/>
        <v>0.9375</v>
      </c>
      <c r="F210" s="201">
        <f t="shared" si="96"/>
        <v>0.88</v>
      </c>
      <c r="G210" s="201">
        <f t="shared" si="96"/>
        <v>0.8181818181818182</v>
      </c>
      <c r="H210" s="201">
        <f t="shared" si="96"/>
        <v>0.8333333333333334</v>
      </c>
      <c r="I210" s="201">
        <f t="shared" si="96"/>
        <v>0.6666666666666666</v>
      </c>
      <c r="J210" s="201">
        <f t="shared" si="96"/>
        <v>0.6666666666666666</v>
      </c>
      <c r="K210" s="201">
        <f t="shared" si="96"/>
        <v>0.5</v>
      </c>
    </row>
    <row r="211" spans="2:11" ht="14.25" outlineLevel="1">
      <c r="B211" s="54" t="s">
        <v>136</v>
      </c>
      <c r="C211" s="208" t="s">
        <v>171</v>
      </c>
      <c r="D211" s="201">
        <f t="shared" si="96"/>
        <v>1</v>
      </c>
      <c r="E211" s="201">
        <f t="shared" si="96"/>
        <v>0.9375</v>
      </c>
      <c r="F211" s="201">
        <f t="shared" si="96"/>
        <v>0.88</v>
      </c>
      <c r="G211" s="201">
        <f t="shared" si="96"/>
        <v>0.8181818181818182</v>
      </c>
      <c r="H211" s="201">
        <f t="shared" si="96"/>
        <v>0.8333333333333334</v>
      </c>
      <c r="I211" s="201">
        <f t="shared" si="96"/>
        <v>0.6666666666666666</v>
      </c>
      <c r="J211" s="201">
        <f t="shared" si="96"/>
        <v>0.6666666666666666</v>
      </c>
      <c r="K211" s="201">
        <f t="shared" si="96"/>
        <v>0.5</v>
      </c>
    </row>
    <row r="212" spans="2:11" ht="14.25" outlineLevel="1">
      <c r="B212" s="47" t="s">
        <v>46</v>
      </c>
      <c r="C212" s="208" t="s">
        <v>171</v>
      </c>
      <c r="D212" s="201">
        <f t="shared" si="96"/>
        <v>0.6461013422145855</v>
      </c>
      <c r="E212" s="201">
        <f t="shared" si="96"/>
        <v>0.14622641509433962</v>
      </c>
      <c r="F212" s="201">
        <f t="shared" si="96"/>
        <v>1.064516129032258</v>
      </c>
      <c r="G212" s="201">
        <f t="shared" si="96"/>
        <v>1.6666666666666667</v>
      </c>
      <c r="H212" s="201">
        <f t="shared" si="96"/>
        <v>0.7272727272727273</v>
      </c>
      <c r="I212" s="201">
        <f t="shared" si="96"/>
        <v>2.225</v>
      </c>
      <c r="J212" s="201">
        <f t="shared" si="96"/>
        <v>1.101123595505618</v>
      </c>
      <c r="K212" s="201">
        <f t="shared" si="96"/>
        <v>0.8367346938775511</v>
      </c>
    </row>
    <row r="213" spans="2:11" ht="24" outlineLevel="1">
      <c r="B213" s="63" t="s">
        <v>85</v>
      </c>
      <c r="C213" s="209" t="s">
        <v>171</v>
      </c>
      <c r="D213" s="202">
        <f t="shared" si="96"/>
        <v>1.010989010989011</v>
      </c>
      <c r="E213" s="202">
        <f t="shared" si="96"/>
        <v>0</v>
      </c>
      <c r="F213" s="202">
        <f t="shared" si="96"/>
        <v>0</v>
      </c>
      <c r="G213" s="202">
        <f t="shared" si="96"/>
        <v>0</v>
      </c>
      <c r="H213" s="202">
        <f t="shared" si="96"/>
        <v>0</v>
      </c>
      <c r="I213" s="202">
        <f t="shared" si="96"/>
        <v>0</v>
      </c>
      <c r="J213" s="202">
        <f t="shared" si="96"/>
        <v>0</v>
      </c>
      <c r="K213" s="202">
        <f t="shared" si="96"/>
        <v>0</v>
      </c>
    </row>
    <row r="214" spans="2:11" ht="14.25" outlineLevel="1">
      <c r="B214" s="230" t="s">
        <v>78</v>
      </c>
      <c r="C214" s="210"/>
      <c r="D214" s="2"/>
      <c r="E214" s="2"/>
      <c r="F214" s="2"/>
      <c r="G214" s="2"/>
      <c r="H214" s="2"/>
      <c r="I214" s="2"/>
      <c r="J214" s="2"/>
      <c r="K214" s="2"/>
    </row>
    <row r="215" spans="2:11" ht="14.25" outlineLevel="1">
      <c r="B215" s="227" t="s">
        <v>4</v>
      </c>
      <c r="C215" s="228" t="s">
        <v>171</v>
      </c>
      <c r="D215" s="229">
        <f aca="true" t="shared" si="97" ref="D215:K215">+IF(C60&lt;&gt;0,D60/C60,0)</f>
        <v>0</v>
      </c>
      <c r="E215" s="229">
        <f t="shared" si="97"/>
        <v>0</v>
      </c>
      <c r="F215" s="229">
        <f t="shared" si="97"/>
        <v>0</v>
      </c>
      <c r="G215" s="229">
        <f t="shared" si="97"/>
        <v>0</v>
      </c>
      <c r="H215" s="229">
        <f t="shared" si="97"/>
        <v>0</v>
      </c>
      <c r="I215" s="229">
        <f t="shared" si="97"/>
        <v>0</v>
      </c>
      <c r="J215" s="229">
        <f t="shared" si="97"/>
        <v>0</v>
      </c>
      <c r="K215" s="229">
        <f t="shared" si="97"/>
        <v>0</v>
      </c>
    </row>
    <row r="216" spans="2:11" ht="14.25" outlineLevel="1">
      <c r="B216" s="47" t="s">
        <v>5</v>
      </c>
      <c r="C216" s="208" t="s">
        <v>171</v>
      </c>
      <c r="D216" s="201">
        <f aca="true" t="shared" si="98" ref="D216:K216">+IF(C61&lt;&gt;0,D61/C61,0)</f>
        <v>0</v>
      </c>
      <c r="E216" s="201">
        <f t="shared" si="98"/>
        <v>0</v>
      </c>
      <c r="F216" s="201">
        <f t="shared" si="98"/>
        <v>0</v>
      </c>
      <c r="G216" s="201">
        <f t="shared" si="98"/>
        <v>0</v>
      </c>
      <c r="H216" s="201">
        <f t="shared" si="98"/>
        <v>0</v>
      </c>
      <c r="I216" s="201">
        <f t="shared" si="98"/>
        <v>0</v>
      </c>
      <c r="J216" s="201">
        <f t="shared" si="98"/>
        <v>0</v>
      </c>
      <c r="K216" s="201">
        <f t="shared" si="98"/>
        <v>0</v>
      </c>
    </row>
    <row r="217" spans="2:11" ht="14.25" outlineLevel="1">
      <c r="B217" s="47" t="s">
        <v>79</v>
      </c>
      <c r="C217" s="208" t="s">
        <v>171</v>
      </c>
      <c r="D217" s="201">
        <f aca="true" t="shared" si="99" ref="D217:K217">+IF(C62&lt;&gt;0,D62/C62,0)</f>
        <v>0</v>
      </c>
      <c r="E217" s="201">
        <f t="shared" si="99"/>
        <v>0</v>
      </c>
      <c r="F217" s="201">
        <f t="shared" si="99"/>
        <v>0</v>
      </c>
      <c r="G217" s="201">
        <f t="shared" si="99"/>
        <v>0</v>
      </c>
      <c r="H217" s="201">
        <f t="shared" si="99"/>
        <v>0</v>
      </c>
      <c r="I217" s="201">
        <f t="shared" si="99"/>
        <v>0</v>
      </c>
      <c r="J217" s="201">
        <f t="shared" si="99"/>
        <v>0</v>
      </c>
      <c r="K217" s="201">
        <f t="shared" si="99"/>
        <v>0</v>
      </c>
    </row>
    <row r="218" spans="2:11" ht="14.25" outlineLevel="1">
      <c r="B218" s="61" t="s">
        <v>80</v>
      </c>
      <c r="C218" s="209" t="s">
        <v>171</v>
      </c>
      <c r="D218" s="202">
        <f aca="true" t="shared" si="100" ref="D218:K218">+IF(C63&lt;&gt;0,D63/C63,0)</f>
        <v>1.10989010989011</v>
      </c>
      <c r="E218" s="202">
        <f t="shared" si="100"/>
        <v>0</v>
      </c>
      <c r="F218" s="202">
        <f t="shared" si="100"/>
        <v>0</v>
      </c>
      <c r="G218" s="202">
        <f t="shared" si="100"/>
        <v>0</v>
      </c>
      <c r="H218" s="202">
        <f t="shared" si="100"/>
        <v>0</v>
      </c>
      <c r="I218" s="202">
        <f t="shared" si="100"/>
        <v>0</v>
      </c>
      <c r="J218" s="202">
        <f t="shared" si="100"/>
        <v>0</v>
      </c>
      <c r="K218" s="202">
        <f t="shared" si="100"/>
        <v>0</v>
      </c>
    </row>
  </sheetData>
  <sheetProtection/>
  <mergeCells count="1">
    <mergeCell ref="B2:I3"/>
  </mergeCells>
  <conditionalFormatting sqref="C91:K91 C106:K107 C82:K89 A118:A121 B118:B120 C114:K114 C96:K104 C93:K94 C118:K121 C109:K109 C111:K111">
    <cfRule type="cellIs" priority="37" dxfId="24" operator="equal" stopIfTrue="1">
      <formula>"Błąd"</formula>
    </cfRule>
  </conditionalFormatting>
  <conditionalFormatting sqref="C54:K54 C57:K57">
    <cfRule type="expression" priority="39" dxfId="25" stopIfTrue="1">
      <formula>LEFT(C54,3)="Nie"</formula>
    </cfRule>
  </conditionalFormatting>
  <conditionalFormatting sqref="C134:K135">
    <cfRule type="cellIs" priority="24" dxfId="26" operator="lessThan" stopIfTrue="1">
      <formula>$B$131</formula>
    </cfRule>
    <cfRule type="cellIs" priority="25" dxfId="7" operator="lessThan" stopIfTrue="1">
      <formula>$B$132</formula>
    </cfRule>
    <cfRule type="cellIs" priority="26" dxfId="6" operator="lessThan" stopIfTrue="1">
      <formula>$B$133</formula>
    </cfRule>
  </conditionalFormatting>
  <conditionalFormatting sqref="C58:K58">
    <cfRule type="expression" priority="29" dxfId="25" stopIfTrue="1">
      <formula>LEFT(C58,3)="Nie"</formula>
    </cfRule>
  </conditionalFormatting>
  <conditionalFormatting sqref="C137:K138">
    <cfRule type="cellIs" priority="19" dxfId="26" operator="lessThan" stopIfTrue="1">
      <formula>$B$131</formula>
    </cfRule>
    <cfRule type="cellIs" priority="20" dxfId="7" operator="lessThan" stopIfTrue="1">
      <formula>$B$132</formula>
    </cfRule>
    <cfRule type="cellIs" priority="21" dxfId="6" operator="lessThan" stopIfTrue="1">
      <formula>$B$133</formula>
    </cfRule>
  </conditionalFormatting>
  <conditionalFormatting sqref="D198:K213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5:K218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3:K113">
    <cfRule type="cellIs" priority="11" dxfId="24" operator="equal" stopIfTrue="1">
      <formula>"Błąd"</formula>
    </cfRule>
  </conditionalFormatting>
  <conditionalFormatting sqref="C55:K55">
    <cfRule type="expression" priority="10" dxfId="25" stopIfTrue="1">
      <formula>LEFT(C55,3)="Nie"</formula>
    </cfRule>
  </conditionalFormatting>
  <conditionalFormatting sqref="D143:K159">
    <cfRule type="cellIs" priority="40" dxfId="26" operator="notBetween" stopIfTrue="1">
      <formula>-$B$142</formula>
      <formula>$B$142</formula>
    </cfRule>
    <cfRule type="cellIs" priority="41" dxfId="7" operator="notBetween" stopIfTrue="1">
      <formula>-$B$141</formula>
      <formula>$B$141</formula>
    </cfRule>
    <cfRule type="cellIs" priority="42" dxfId="6" operator="notBetween" stopIfTrue="1">
      <formula>-$B$140</formula>
      <formula>$B$140</formula>
    </cfRule>
  </conditionalFormatting>
  <conditionalFormatting sqref="C92:K92">
    <cfRule type="cellIs" priority="6" dxfId="24" operator="equal" stopIfTrue="1">
      <formula>"Błąd"</formula>
    </cfRule>
  </conditionalFormatting>
  <conditionalFormatting sqref="C115:K115">
    <cfRule type="cellIs" priority="5" dxfId="24" operator="equal" stopIfTrue="1">
      <formula>"Błąd"</formula>
    </cfRule>
  </conditionalFormatting>
  <conditionalFormatting sqref="C117:K117">
    <cfRule type="cellIs" priority="4" dxfId="24" operator="equal" stopIfTrue="1">
      <formula>"Błąd"</formula>
    </cfRule>
  </conditionalFormatting>
  <conditionalFormatting sqref="C116:K116">
    <cfRule type="cellIs" priority="3" dxfId="24" operator="equal" stopIfTrue="1">
      <formula>"Błąd"</formula>
    </cfRule>
  </conditionalFormatting>
  <conditionalFormatting sqref="C110:K110">
    <cfRule type="cellIs" priority="2" dxfId="24" operator="equal" stopIfTrue="1">
      <formula>"Błąd"</formula>
    </cfRule>
  </conditionalFormatting>
  <conditionalFormatting sqref="C112:K112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4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4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4" customFormat="1" ht="14.25"/>
    <row r="2" s="184" customFormat="1" ht="14.25"/>
    <row r="3" s="184" customFormat="1" ht="14.25"/>
    <row r="5" ht="15" thickBot="1"/>
    <row r="6" spans="2:34" ht="15" thickBot="1">
      <c r="B6" s="3" t="s">
        <v>0</v>
      </c>
      <c r="C6" s="31" t="s">
        <v>1</v>
      </c>
      <c r="D6" s="4" t="s">
        <v>240</v>
      </c>
      <c r="E6" s="4" t="s">
        <v>294</v>
      </c>
      <c r="F6" s="4" t="s">
        <v>295</v>
      </c>
      <c r="G6" s="4" t="s">
        <v>296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302</v>
      </c>
      <c r="N6" s="4" t="s">
        <v>303</v>
      </c>
      <c r="O6" s="4" t="s">
        <v>304</v>
      </c>
      <c r="P6" s="4" t="s">
        <v>305</v>
      </c>
      <c r="Q6" s="4" t="s">
        <v>306</v>
      </c>
      <c r="R6" s="4" t="s">
        <v>307</v>
      </c>
      <c r="S6" s="4" t="s">
        <v>308</v>
      </c>
      <c r="T6" s="4" t="s">
        <v>309</v>
      </c>
      <c r="U6" s="4" t="s">
        <v>310</v>
      </c>
      <c r="V6" s="4" t="s">
        <v>311</v>
      </c>
      <c r="W6" s="4" t="s">
        <v>312</v>
      </c>
      <c r="X6" s="4" t="s">
        <v>313</v>
      </c>
      <c r="Y6" s="4" t="s">
        <v>314</v>
      </c>
      <c r="Z6" s="4" t="s">
        <v>315</v>
      </c>
      <c r="AA6" s="4" t="s">
        <v>316</v>
      </c>
      <c r="AB6" s="4" t="s">
        <v>317</v>
      </c>
      <c r="AC6" s="4" t="s">
        <v>318</v>
      </c>
      <c r="AD6" s="4" t="s">
        <v>319</v>
      </c>
      <c r="AE6" s="4" t="s">
        <v>25</v>
      </c>
      <c r="AF6" s="4" t="s">
        <v>320</v>
      </c>
      <c r="AG6" s="4" t="s">
        <v>321</v>
      </c>
      <c r="AH6" s="4" t="s">
        <v>322</v>
      </c>
    </row>
    <row r="7" spans="1:34" ht="14.25">
      <c r="A7" s="74">
        <v>1</v>
      </c>
      <c r="B7" s="234" t="s">
        <v>323</v>
      </c>
      <c r="C7" s="13" t="s">
        <v>89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4">
        <v>2</v>
      </c>
      <c r="B8" s="25" t="s">
        <v>90</v>
      </c>
      <c r="C8" s="13" t="s">
        <v>263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s="184" customFormat="1" ht="14.25">
      <c r="A9" s="74">
        <v>3</v>
      </c>
      <c r="B9" s="25" t="s">
        <v>242</v>
      </c>
      <c r="C9" s="13" t="s">
        <v>241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4">
        <v>4</v>
      </c>
      <c r="B10" s="25" t="s">
        <v>91</v>
      </c>
      <c r="C10" s="13" t="s">
        <v>264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4">
        <v>5</v>
      </c>
      <c r="B11" s="25" t="s">
        <v>92</v>
      </c>
      <c r="C11" s="13" t="s">
        <v>265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4">
        <v>6</v>
      </c>
      <c r="B12" s="25" t="s">
        <v>93</v>
      </c>
      <c r="C12" s="13" t="s">
        <v>266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s="184" customFormat="1" ht="14.25">
      <c r="A13" s="74">
        <v>7</v>
      </c>
      <c r="B13" s="25" t="s">
        <v>243</v>
      </c>
      <c r="C13" s="13" t="s">
        <v>244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4">
        <v>8</v>
      </c>
      <c r="B14" s="25" t="s">
        <v>94</v>
      </c>
      <c r="C14" s="13" t="s">
        <v>245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4">
        <v>9</v>
      </c>
      <c r="B15" s="234" t="s">
        <v>324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4">
        <v>10</v>
      </c>
      <c r="B16" s="25" t="s">
        <v>95</v>
      </c>
      <c r="C16" s="13" t="s">
        <v>96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4">
        <v>11</v>
      </c>
      <c r="B17" s="25" t="s">
        <v>97</v>
      </c>
      <c r="C17" s="13" t="s">
        <v>98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4">
        <v>12</v>
      </c>
      <c r="B18" s="25" t="s">
        <v>99</v>
      </c>
      <c r="C18" s="13" t="s">
        <v>100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4">
        <v>13</v>
      </c>
      <c r="B19" s="25" t="s">
        <v>101</v>
      </c>
      <c r="C19" s="13" t="s">
        <v>267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s="184" customFormat="1" ht="14.25">
      <c r="A20" s="74">
        <v>14</v>
      </c>
      <c r="B20" s="25" t="s">
        <v>247</v>
      </c>
      <c r="C20" s="13" t="s">
        <v>246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4">
        <v>15</v>
      </c>
      <c r="B21" s="25" t="s">
        <v>102</v>
      </c>
      <c r="C21" s="13" t="s">
        <v>103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4">
        <v>150</v>
      </c>
      <c r="B22" s="25" t="s">
        <v>104</v>
      </c>
      <c r="C22" s="13" t="s">
        <v>268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s="184" customFormat="1" ht="14.25">
      <c r="A23" s="74">
        <v>151</v>
      </c>
      <c r="B23" s="25" t="s">
        <v>249</v>
      </c>
      <c r="C23" s="13" t="s">
        <v>248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4">
        <v>160</v>
      </c>
      <c r="B24" s="234" t="s">
        <v>325</v>
      </c>
      <c r="C24" s="13" t="s">
        <v>105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4">
        <v>170</v>
      </c>
      <c r="B25" s="25" t="s">
        <v>250</v>
      </c>
      <c r="C25" s="13" t="s">
        <v>269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4">
        <v>171</v>
      </c>
      <c r="B26" s="25" t="s">
        <v>251</v>
      </c>
      <c r="C26" s="13" t="s">
        <v>106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s="184" customFormat="1" ht="14.25">
      <c r="A27" s="74">
        <v>173</v>
      </c>
      <c r="B27" s="25" t="s">
        <v>252</v>
      </c>
      <c r="C27" s="13" t="s">
        <v>270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s="184" customFormat="1" ht="14.25">
      <c r="A28" s="74">
        <v>175</v>
      </c>
      <c r="B28" s="25" t="s">
        <v>253</v>
      </c>
      <c r="C28" s="13" t="s">
        <v>106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4">
        <v>180</v>
      </c>
      <c r="B29" s="234" t="s">
        <v>326</v>
      </c>
      <c r="C29" s="13" t="s">
        <v>107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4">
        <v>185</v>
      </c>
      <c r="B30" s="25" t="s">
        <v>108</v>
      </c>
      <c r="C30" s="13" t="s">
        <v>106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4">
        <v>190</v>
      </c>
      <c r="B31" s="234" t="s">
        <v>327</v>
      </c>
      <c r="C31" s="13" t="s">
        <v>109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4">
        <v>200</v>
      </c>
      <c r="B32" s="234" t="s">
        <v>328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4">
        <v>210</v>
      </c>
      <c r="B33" s="25" t="s">
        <v>110</v>
      </c>
      <c r="C33" s="13" t="s">
        <v>271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4">
        <v>220</v>
      </c>
      <c r="B34" s="25" t="s">
        <v>111</v>
      </c>
      <c r="C34" s="13" t="s">
        <v>112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4">
        <v>230</v>
      </c>
      <c r="B35" s="25" t="s">
        <v>113</v>
      </c>
      <c r="C35" s="13" t="s">
        <v>272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4">
        <v>240</v>
      </c>
      <c r="B36" s="25" t="s">
        <v>114</v>
      </c>
      <c r="C36" s="13" t="s">
        <v>273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4">
        <v>250</v>
      </c>
      <c r="B37" s="234" t="s">
        <v>329</v>
      </c>
      <c r="C37" s="13" t="s">
        <v>115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4">
        <v>260</v>
      </c>
      <c r="B38" s="234" t="s">
        <v>330</v>
      </c>
      <c r="C38" s="13" t="s">
        <v>116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4">
        <v>270</v>
      </c>
      <c r="B39" s="234" t="s">
        <v>331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4">
        <v>280</v>
      </c>
      <c r="B40" s="25" t="s">
        <v>117</v>
      </c>
      <c r="C40" s="13" t="s">
        <v>118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4">
        <v>290</v>
      </c>
      <c r="B41" s="25" t="s">
        <v>119</v>
      </c>
      <c r="C41" s="13" t="s">
        <v>268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s="184" customFormat="1" ht="14.25">
      <c r="A42" s="74">
        <v>295</v>
      </c>
      <c r="B42" s="25" t="s">
        <v>254</v>
      </c>
      <c r="C42" s="13" t="s">
        <v>248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4">
        <v>300</v>
      </c>
      <c r="B43" s="234" t="s">
        <v>332</v>
      </c>
      <c r="C43" s="13" t="s">
        <v>60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4">
        <v>310</v>
      </c>
      <c r="B44" s="25" t="s">
        <v>120</v>
      </c>
      <c r="C44" s="13" t="s">
        <v>106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4">
        <v>320</v>
      </c>
      <c r="B45" s="234" t="s">
        <v>333</v>
      </c>
      <c r="C45" s="13" t="s">
        <v>121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4">
        <v>330</v>
      </c>
      <c r="B46" s="234" t="s">
        <v>334</v>
      </c>
      <c r="C46" s="13" t="s">
        <v>274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4">
        <v>340</v>
      </c>
      <c r="B47" s="25" t="s">
        <v>122</v>
      </c>
      <c r="C47" s="13" t="s">
        <v>275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4">
        <v>350</v>
      </c>
      <c r="B48" s="234" t="s">
        <v>335</v>
      </c>
      <c r="C48" s="13" t="s">
        <v>66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4">
        <v>360</v>
      </c>
      <c r="B49" s="234" t="s">
        <v>336</v>
      </c>
      <c r="C49" s="13" t="s">
        <v>123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4" t="s">
        <v>352</v>
      </c>
      <c r="B50" s="234" t="s">
        <v>337</v>
      </c>
      <c r="C50" s="13" t="s">
        <v>124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4">
        <v>380</v>
      </c>
      <c r="B51" s="234" t="s">
        <v>338</v>
      </c>
      <c r="C51" s="13" t="s">
        <v>276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4">
        <v>391</v>
      </c>
      <c r="B52" s="25" t="s">
        <v>125</v>
      </c>
      <c r="C52" s="13" t="s">
        <v>277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s="184" customFormat="1" ht="14.25">
      <c r="A53" s="74" t="s">
        <v>353</v>
      </c>
      <c r="B53" s="25" t="s">
        <v>255</v>
      </c>
      <c r="C53" s="13" t="s">
        <v>278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s="184" customFormat="1" ht="14.25">
      <c r="A54" s="74">
        <v>393</v>
      </c>
      <c r="B54" s="25" t="s">
        <v>256</v>
      </c>
      <c r="C54" s="13" t="s">
        <v>279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s="184" customFormat="1" ht="14.25">
      <c r="A55" s="74">
        <v>394</v>
      </c>
      <c r="B55" s="25" t="s">
        <v>257</v>
      </c>
      <c r="C55" s="13" t="s">
        <v>280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s="184" customFormat="1" ht="14.25">
      <c r="A56" s="74">
        <v>395</v>
      </c>
      <c r="B56" s="234" t="s">
        <v>293</v>
      </c>
      <c r="C56" s="13" t="s">
        <v>281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s="184" customFormat="1" ht="14.25">
      <c r="A57" s="74">
        <v>396</v>
      </c>
      <c r="B57" s="234" t="s">
        <v>262</v>
      </c>
      <c r="C57" s="13" t="s">
        <v>282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s="184" customFormat="1" ht="14.25">
      <c r="A58" s="74">
        <v>397</v>
      </c>
      <c r="B58" s="25" t="s">
        <v>258</v>
      </c>
      <c r="C58" s="13" t="s">
        <v>283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4">
        <v>400</v>
      </c>
      <c r="B59" s="234" t="s">
        <v>339</v>
      </c>
      <c r="C59" s="13" t="s">
        <v>67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4">
        <v>410</v>
      </c>
      <c r="B60" s="25" t="s">
        <v>126</v>
      </c>
      <c r="C60" s="13" t="s">
        <v>69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4">
        <v>420</v>
      </c>
      <c r="B61" s="234" t="s">
        <v>340</v>
      </c>
      <c r="C61" s="13" t="s">
        <v>70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4">
        <v>430</v>
      </c>
      <c r="B62" s="25" t="s">
        <v>127</v>
      </c>
      <c r="C62" s="13" t="s">
        <v>72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4">
        <v>440</v>
      </c>
      <c r="B63" s="234" t="s">
        <v>341</v>
      </c>
      <c r="C63" s="13" t="s">
        <v>128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4">
        <v>450</v>
      </c>
      <c r="B64" s="25" t="s">
        <v>129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s="184" customFormat="1" ht="14.25">
      <c r="A65" s="74">
        <v>451</v>
      </c>
      <c r="B65" s="25" t="s">
        <v>259</v>
      </c>
      <c r="C65" s="13" t="s">
        <v>284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4">
        <v>460</v>
      </c>
      <c r="B66" s="234" t="s">
        <v>342</v>
      </c>
      <c r="C66" s="13" t="s">
        <v>285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4">
        <v>470</v>
      </c>
      <c r="B67" s="25" t="s">
        <v>130</v>
      </c>
      <c r="C67" s="13" t="s">
        <v>286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s="184" customFormat="1" ht="14.25">
      <c r="A68" s="74">
        <v>471</v>
      </c>
      <c r="B68" s="25" t="s">
        <v>260</v>
      </c>
      <c r="C68" s="13" t="s">
        <v>287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4">
        <v>480</v>
      </c>
      <c r="B69" s="234" t="s">
        <v>343</v>
      </c>
      <c r="C69" s="13" t="s">
        <v>288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4">
        <v>490</v>
      </c>
      <c r="B70" s="25" t="s">
        <v>131</v>
      </c>
      <c r="C70" s="13" t="s">
        <v>289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s="184" customFormat="1" ht="14.25">
      <c r="A71" s="74">
        <v>491</v>
      </c>
      <c r="B71" s="25" t="s">
        <v>261</v>
      </c>
      <c r="C71" s="13" t="s">
        <v>290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4">
        <v>500</v>
      </c>
      <c r="B72" s="234" t="s">
        <v>344</v>
      </c>
      <c r="C72" s="13" t="s">
        <v>57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4">
        <v>510</v>
      </c>
      <c r="B73" s="234" t="s">
        <v>345</v>
      </c>
      <c r="C73" s="13" t="s">
        <v>291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4">
        <v>520</v>
      </c>
      <c r="B74" s="234" t="s">
        <v>346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4">
        <v>530</v>
      </c>
      <c r="B75" s="234" t="s">
        <v>347</v>
      </c>
      <c r="C75" s="13" t="s">
        <v>56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4">
        <v>540</v>
      </c>
      <c r="B76" s="234" t="s">
        <v>348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4">
        <v>550</v>
      </c>
      <c r="B77" s="234" t="s">
        <v>349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4">
        <v>560</v>
      </c>
      <c r="B78" s="234" t="s">
        <v>350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4">
        <v>570</v>
      </c>
      <c r="B79" s="234" t="s">
        <v>351</v>
      </c>
      <c r="C79" s="13" t="s">
        <v>292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  <row r="80" ht="14.25">
      <c r="C80" s="184"/>
    </row>
    <row r="81" ht="14.25">
      <c r="C81" s="184"/>
    </row>
    <row r="82" ht="14.25">
      <c r="C82" s="18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tr">
        <f>+DaneZrodlowe!B4</f>
        <v>autopoprawka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(3007042) - GODZIESZE WIELKIE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+"2012-"&amp;MAX(DaneZrodlowe!L:L)</f>
        <v>2012-2021</v>
      </c>
    </row>
    <row r="4" ht="14.25">
      <c r="A4" s="6"/>
    </row>
    <row r="5" spans="1:33" ht="14.25">
      <c r="A5" s="116"/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23"/>
      <c r="AG5" s="23"/>
    </row>
    <row r="6" spans="1:33" ht="14.25">
      <c r="A6" s="78" t="s">
        <v>0</v>
      </c>
      <c r="B6" s="79" t="s">
        <v>1</v>
      </c>
      <c r="C6" s="80" t="s">
        <v>240</v>
      </c>
      <c r="D6" s="80">
        <f>+C6+1</f>
        <v>2014</v>
      </c>
      <c r="E6" s="80">
        <f aca="true" t="shared" si="0" ref="E6:AG6">+D6+1</f>
        <v>2015</v>
      </c>
      <c r="F6" s="80">
        <f t="shared" si="0"/>
        <v>2016</v>
      </c>
      <c r="G6" s="80">
        <f t="shared" si="0"/>
        <v>2017</v>
      </c>
      <c r="H6" s="80">
        <f t="shared" si="0"/>
        <v>2018</v>
      </c>
      <c r="I6" s="80">
        <f t="shared" si="0"/>
        <v>2019</v>
      </c>
      <c r="J6" s="80">
        <f t="shared" si="0"/>
        <v>2020</v>
      </c>
      <c r="K6" s="80">
        <f t="shared" si="0"/>
        <v>2021</v>
      </c>
      <c r="L6" s="80">
        <f t="shared" si="0"/>
        <v>2022</v>
      </c>
      <c r="M6" s="80">
        <f t="shared" si="0"/>
        <v>2023</v>
      </c>
      <c r="N6" s="80">
        <f t="shared" si="0"/>
        <v>2024</v>
      </c>
      <c r="O6" s="80">
        <f t="shared" si="0"/>
        <v>2025</v>
      </c>
      <c r="P6" s="80">
        <f t="shared" si="0"/>
        <v>2026</v>
      </c>
      <c r="Q6" s="80">
        <f t="shared" si="0"/>
        <v>2027</v>
      </c>
      <c r="R6" s="80">
        <f t="shared" si="0"/>
        <v>2028</v>
      </c>
      <c r="S6" s="80">
        <f t="shared" si="0"/>
        <v>2029</v>
      </c>
      <c r="T6" s="80">
        <f t="shared" si="0"/>
        <v>2030</v>
      </c>
      <c r="U6" s="80">
        <f t="shared" si="0"/>
        <v>2031</v>
      </c>
      <c r="V6" s="80">
        <f t="shared" si="0"/>
        <v>2032</v>
      </c>
      <c r="W6" s="80">
        <f t="shared" si="0"/>
        <v>2033</v>
      </c>
      <c r="X6" s="80">
        <f t="shared" si="0"/>
        <v>2034</v>
      </c>
      <c r="Y6" s="80">
        <f t="shared" si="0"/>
        <v>2035</v>
      </c>
      <c r="Z6" s="80">
        <f t="shared" si="0"/>
        <v>2036</v>
      </c>
      <c r="AA6" s="80">
        <f t="shared" si="0"/>
        <v>2037</v>
      </c>
      <c r="AB6" s="80">
        <f t="shared" si="0"/>
        <v>2038</v>
      </c>
      <c r="AC6" s="80">
        <f t="shared" si="0"/>
        <v>2039</v>
      </c>
      <c r="AD6" s="80">
        <f t="shared" si="0"/>
        <v>2040</v>
      </c>
      <c r="AE6" s="80">
        <f t="shared" si="0"/>
        <v>2041</v>
      </c>
      <c r="AF6" s="80">
        <f t="shared" si="0"/>
        <v>2042</v>
      </c>
      <c r="AG6" s="80">
        <f t="shared" si="0"/>
        <v>2043</v>
      </c>
    </row>
    <row r="7" spans="1:33" ht="14.25">
      <c r="A7" s="98"/>
      <c r="B7" s="99" t="s">
        <v>89</v>
      </c>
      <c r="C7" s="239">
        <f>23266745</f>
        <v>23266745</v>
      </c>
      <c r="D7" s="239">
        <f>23705610</f>
        <v>23705610</v>
      </c>
      <c r="E7" s="239">
        <f>23547000</f>
        <v>23547000</v>
      </c>
      <c r="F7" s="239">
        <f>24018000</f>
        <v>24018000</v>
      </c>
      <c r="G7" s="239">
        <f>24500000</f>
        <v>24500000</v>
      </c>
      <c r="H7" s="239">
        <f>24800000</f>
        <v>24800000</v>
      </c>
      <c r="I7" s="239">
        <f>25100000</f>
        <v>25100000</v>
      </c>
      <c r="J7" s="239">
        <f>25360000</f>
        <v>25360000</v>
      </c>
      <c r="K7" s="239">
        <f>25360000</f>
        <v>25360000</v>
      </c>
      <c r="L7" s="239">
        <f>0</f>
        <v>0</v>
      </c>
      <c r="M7" s="239">
        <f>0</f>
        <v>0</v>
      </c>
      <c r="N7" s="239">
        <f>0</f>
        <v>0</v>
      </c>
      <c r="O7" s="239">
        <f>0</f>
        <v>0</v>
      </c>
      <c r="P7" s="239">
        <f>0</f>
        <v>0</v>
      </c>
      <c r="Q7" s="239">
        <f>0</f>
        <v>0</v>
      </c>
      <c r="R7" s="239">
        <f>0</f>
        <v>0</v>
      </c>
      <c r="S7" s="239">
        <f>0</f>
        <v>0</v>
      </c>
      <c r="T7" s="239">
        <f>0</f>
        <v>0</v>
      </c>
      <c r="U7" s="239">
        <f>0</f>
        <v>0</v>
      </c>
      <c r="V7" s="239">
        <f>0</f>
        <v>0</v>
      </c>
      <c r="W7" s="239">
        <f>0</f>
        <v>0</v>
      </c>
      <c r="X7" s="239">
        <f>0</f>
        <v>0</v>
      </c>
      <c r="Y7" s="239">
        <f>0</f>
        <v>0</v>
      </c>
      <c r="Z7" s="239">
        <f>0</f>
        <v>0</v>
      </c>
      <c r="AA7" s="239">
        <f>0</f>
        <v>0</v>
      </c>
      <c r="AB7" s="239">
        <f>0</f>
        <v>0</v>
      </c>
      <c r="AC7" s="239">
        <f>0</f>
        <v>0</v>
      </c>
      <c r="AD7" s="239">
        <f>0</f>
        <v>0</v>
      </c>
      <c r="AE7" s="239">
        <f>0</f>
        <v>0</v>
      </c>
      <c r="AF7" s="239">
        <f>0</f>
        <v>0</v>
      </c>
      <c r="AG7" s="239">
        <f>0</f>
        <v>0</v>
      </c>
    </row>
    <row r="8" spans="1:33" ht="14.25">
      <c r="A8" s="84"/>
      <c r="B8" s="85" t="s">
        <v>357</v>
      </c>
      <c r="C8" s="243">
        <f>22273007</f>
        <v>22273007</v>
      </c>
      <c r="D8" s="243">
        <f>23071000</f>
        <v>23071000</v>
      </c>
      <c r="E8" s="243">
        <f>23547000</f>
        <v>23547000</v>
      </c>
      <c r="F8" s="243">
        <f>24018000</f>
        <v>24018000</v>
      </c>
      <c r="G8" s="243">
        <f>24500000</f>
        <v>24500000</v>
      </c>
      <c r="H8" s="243">
        <f>24800000</f>
        <v>24800000</v>
      </c>
      <c r="I8" s="243">
        <f>25100000</f>
        <v>25100000</v>
      </c>
      <c r="J8" s="243">
        <f>25360000</f>
        <v>25360000</v>
      </c>
      <c r="K8" s="243">
        <f>25360000</f>
        <v>25360000</v>
      </c>
      <c r="L8" s="243">
        <f>0</f>
        <v>0</v>
      </c>
      <c r="M8" s="243">
        <f>0</f>
        <v>0</v>
      </c>
      <c r="N8" s="243">
        <f>0</f>
        <v>0</v>
      </c>
      <c r="O8" s="243">
        <f>0</f>
        <v>0</v>
      </c>
      <c r="P8" s="243">
        <f>0</f>
        <v>0</v>
      </c>
      <c r="Q8" s="243">
        <f>0</f>
        <v>0</v>
      </c>
      <c r="R8" s="243">
        <f>0</f>
        <v>0</v>
      </c>
      <c r="S8" s="243">
        <f>0</f>
        <v>0</v>
      </c>
      <c r="T8" s="243">
        <f>0</f>
        <v>0</v>
      </c>
      <c r="U8" s="243">
        <f>0</f>
        <v>0</v>
      </c>
      <c r="V8" s="243">
        <f>0</f>
        <v>0</v>
      </c>
      <c r="W8" s="243">
        <f>0</f>
        <v>0</v>
      </c>
      <c r="X8" s="243">
        <f>0</f>
        <v>0</v>
      </c>
      <c r="Y8" s="243">
        <f>0</f>
        <v>0</v>
      </c>
      <c r="Z8" s="243">
        <f>0</f>
        <v>0</v>
      </c>
      <c r="AA8" s="243">
        <f>0</f>
        <v>0</v>
      </c>
      <c r="AB8" s="243">
        <f>0</f>
        <v>0</v>
      </c>
      <c r="AC8" s="243">
        <f>0</f>
        <v>0</v>
      </c>
      <c r="AD8" s="243">
        <f>0</f>
        <v>0</v>
      </c>
      <c r="AE8" s="243">
        <f>0</f>
        <v>0</v>
      </c>
      <c r="AF8" s="243">
        <f>0</f>
        <v>0</v>
      </c>
      <c r="AG8" s="243">
        <f>0</f>
        <v>0</v>
      </c>
    </row>
    <row r="9" spans="1:33" ht="24">
      <c r="A9" s="84"/>
      <c r="B9" s="86" t="s">
        <v>356</v>
      </c>
      <c r="C9" s="243">
        <f>164966</f>
        <v>164966</v>
      </c>
      <c r="D9" s="243">
        <f>0</f>
        <v>0</v>
      </c>
      <c r="E9" s="243">
        <f>0</f>
        <v>0</v>
      </c>
      <c r="F9" s="243">
        <f>0</f>
        <v>0</v>
      </c>
      <c r="G9" s="243">
        <f>0</f>
        <v>0</v>
      </c>
      <c r="H9" s="243">
        <f>0</f>
        <v>0</v>
      </c>
      <c r="I9" s="243">
        <f>0</f>
        <v>0</v>
      </c>
      <c r="J9" s="243">
        <f>0</f>
        <v>0</v>
      </c>
      <c r="K9" s="243">
        <f>0</f>
        <v>0</v>
      </c>
      <c r="L9" s="243">
        <f>0</f>
        <v>0</v>
      </c>
      <c r="M9" s="243">
        <f>0</f>
        <v>0</v>
      </c>
      <c r="N9" s="243">
        <f>0</f>
        <v>0</v>
      </c>
      <c r="O9" s="243">
        <f>0</f>
        <v>0</v>
      </c>
      <c r="P9" s="243">
        <f>0</f>
        <v>0</v>
      </c>
      <c r="Q9" s="243">
        <f>0</f>
        <v>0</v>
      </c>
      <c r="R9" s="243">
        <f>0</f>
        <v>0</v>
      </c>
      <c r="S9" s="243">
        <f>0</f>
        <v>0</v>
      </c>
      <c r="T9" s="243">
        <f>0</f>
        <v>0</v>
      </c>
      <c r="U9" s="243">
        <f>0</f>
        <v>0</v>
      </c>
      <c r="V9" s="243">
        <f>0</f>
        <v>0</v>
      </c>
      <c r="W9" s="243">
        <f>0</f>
        <v>0</v>
      </c>
      <c r="X9" s="243">
        <f>0</f>
        <v>0</v>
      </c>
      <c r="Y9" s="243">
        <f>0</f>
        <v>0</v>
      </c>
      <c r="Z9" s="243">
        <f>0</f>
        <v>0</v>
      </c>
      <c r="AA9" s="243">
        <f>0</f>
        <v>0</v>
      </c>
      <c r="AB9" s="243">
        <f>0</f>
        <v>0</v>
      </c>
      <c r="AC9" s="243">
        <f>0</f>
        <v>0</v>
      </c>
      <c r="AD9" s="243">
        <f>0</f>
        <v>0</v>
      </c>
      <c r="AE9" s="243">
        <f>0</f>
        <v>0</v>
      </c>
      <c r="AF9" s="243">
        <f>0</f>
        <v>0</v>
      </c>
      <c r="AG9" s="243">
        <f>0</f>
        <v>0</v>
      </c>
    </row>
    <row r="10" spans="1:33" ht="14.25">
      <c r="A10" s="84"/>
      <c r="B10" s="237" t="s">
        <v>355</v>
      </c>
      <c r="C10" s="243">
        <f>164966</f>
        <v>164966</v>
      </c>
      <c r="D10" s="243">
        <f>0</f>
        <v>0</v>
      </c>
      <c r="E10" s="243">
        <f>0</f>
        <v>0</v>
      </c>
      <c r="F10" s="243">
        <f>0</f>
        <v>0</v>
      </c>
      <c r="G10" s="243">
        <f>0</f>
        <v>0</v>
      </c>
      <c r="H10" s="243">
        <f>0</f>
        <v>0</v>
      </c>
      <c r="I10" s="243">
        <f>0</f>
        <v>0</v>
      </c>
      <c r="J10" s="243">
        <f>0</f>
        <v>0</v>
      </c>
      <c r="K10" s="243">
        <f>0</f>
        <v>0</v>
      </c>
      <c r="L10" s="243">
        <f>0</f>
        <v>0</v>
      </c>
      <c r="M10" s="243">
        <f>0</f>
        <v>0</v>
      </c>
      <c r="N10" s="243">
        <f>0</f>
        <v>0</v>
      </c>
      <c r="O10" s="243">
        <f>0</f>
        <v>0</v>
      </c>
      <c r="P10" s="243">
        <f>0</f>
        <v>0</v>
      </c>
      <c r="Q10" s="243">
        <f>0</f>
        <v>0</v>
      </c>
      <c r="R10" s="243">
        <f>0</f>
        <v>0</v>
      </c>
      <c r="S10" s="243">
        <f>0</f>
        <v>0</v>
      </c>
      <c r="T10" s="243">
        <f>0</f>
        <v>0</v>
      </c>
      <c r="U10" s="243">
        <f>0</f>
        <v>0</v>
      </c>
      <c r="V10" s="243">
        <f>0</f>
        <v>0</v>
      </c>
      <c r="W10" s="243">
        <f>0</f>
        <v>0</v>
      </c>
      <c r="X10" s="243">
        <f>0</f>
        <v>0</v>
      </c>
      <c r="Y10" s="243">
        <f>0</f>
        <v>0</v>
      </c>
      <c r="Z10" s="243">
        <f>0</f>
        <v>0</v>
      </c>
      <c r="AA10" s="243">
        <f>0</f>
        <v>0</v>
      </c>
      <c r="AB10" s="243">
        <f>0</f>
        <v>0</v>
      </c>
      <c r="AC10" s="243">
        <f>0</f>
        <v>0</v>
      </c>
      <c r="AD10" s="243">
        <f>0</f>
        <v>0</v>
      </c>
      <c r="AE10" s="243">
        <f>0</f>
        <v>0</v>
      </c>
      <c r="AF10" s="243">
        <f>0</f>
        <v>0</v>
      </c>
      <c r="AG10" s="243">
        <f>0</f>
        <v>0</v>
      </c>
    </row>
    <row r="11" spans="1:33" ht="14.25">
      <c r="A11" s="84"/>
      <c r="B11" s="87" t="s">
        <v>265</v>
      </c>
      <c r="C11" s="243">
        <f>993738</f>
        <v>993738</v>
      </c>
      <c r="D11" s="243">
        <f>634610</f>
        <v>634610</v>
      </c>
      <c r="E11" s="243">
        <f>0</f>
        <v>0</v>
      </c>
      <c r="F11" s="243">
        <f>0</f>
        <v>0</v>
      </c>
      <c r="G11" s="243">
        <f>0</f>
        <v>0</v>
      </c>
      <c r="H11" s="243">
        <f>0</f>
        <v>0</v>
      </c>
      <c r="I11" s="243">
        <f>0</f>
        <v>0</v>
      </c>
      <c r="J11" s="243">
        <f>0</f>
        <v>0</v>
      </c>
      <c r="K11" s="243">
        <f>0</f>
        <v>0</v>
      </c>
      <c r="L11" s="243">
        <f>0</f>
        <v>0</v>
      </c>
      <c r="M11" s="243">
        <f>0</f>
        <v>0</v>
      </c>
      <c r="N11" s="243">
        <f>0</f>
        <v>0</v>
      </c>
      <c r="O11" s="243">
        <f>0</f>
        <v>0</v>
      </c>
      <c r="P11" s="243">
        <f>0</f>
        <v>0</v>
      </c>
      <c r="Q11" s="243">
        <f>0</f>
        <v>0</v>
      </c>
      <c r="R11" s="243">
        <f>0</f>
        <v>0</v>
      </c>
      <c r="S11" s="243">
        <f>0</f>
        <v>0</v>
      </c>
      <c r="T11" s="243">
        <f>0</f>
        <v>0</v>
      </c>
      <c r="U11" s="243">
        <f>0</f>
        <v>0</v>
      </c>
      <c r="V11" s="243">
        <f>0</f>
        <v>0</v>
      </c>
      <c r="W11" s="243">
        <f>0</f>
        <v>0</v>
      </c>
      <c r="X11" s="243">
        <f>0</f>
        <v>0</v>
      </c>
      <c r="Y11" s="243">
        <f>0</f>
        <v>0</v>
      </c>
      <c r="Z11" s="243">
        <f>0</f>
        <v>0</v>
      </c>
      <c r="AA11" s="243">
        <f>0</f>
        <v>0</v>
      </c>
      <c r="AB11" s="243">
        <f>0</f>
        <v>0</v>
      </c>
      <c r="AC11" s="243">
        <f>0</f>
        <v>0</v>
      </c>
      <c r="AD11" s="243">
        <f>0</f>
        <v>0</v>
      </c>
      <c r="AE11" s="243">
        <f>0</f>
        <v>0</v>
      </c>
      <c r="AF11" s="243">
        <f>0</f>
        <v>0</v>
      </c>
      <c r="AG11" s="243">
        <f>0</f>
        <v>0</v>
      </c>
    </row>
    <row r="12" spans="1:33" ht="14.25">
      <c r="A12" s="84"/>
      <c r="B12" s="86" t="s">
        <v>83</v>
      </c>
      <c r="C12" s="243">
        <f>300000</f>
        <v>300000</v>
      </c>
      <c r="D12" s="243">
        <f>0</f>
        <v>0</v>
      </c>
      <c r="E12" s="243">
        <f>0</f>
        <v>0</v>
      </c>
      <c r="F12" s="243">
        <f>0</f>
        <v>0</v>
      </c>
      <c r="G12" s="243">
        <f>0</f>
        <v>0</v>
      </c>
      <c r="H12" s="243">
        <f>0</f>
        <v>0</v>
      </c>
      <c r="I12" s="243">
        <f>0</f>
        <v>0</v>
      </c>
      <c r="J12" s="243">
        <f>0</f>
        <v>0</v>
      </c>
      <c r="K12" s="243">
        <f>0</f>
        <v>0</v>
      </c>
      <c r="L12" s="243">
        <f>0</f>
        <v>0</v>
      </c>
      <c r="M12" s="243">
        <f>0</f>
        <v>0</v>
      </c>
      <c r="N12" s="243">
        <f>0</f>
        <v>0</v>
      </c>
      <c r="O12" s="243">
        <f>0</f>
        <v>0</v>
      </c>
      <c r="P12" s="243">
        <f>0</f>
        <v>0</v>
      </c>
      <c r="Q12" s="243">
        <f>0</f>
        <v>0</v>
      </c>
      <c r="R12" s="243">
        <f>0</f>
        <v>0</v>
      </c>
      <c r="S12" s="243">
        <f>0</f>
        <v>0</v>
      </c>
      <c r="T12" s="243">
        <f>0</f>
        <v>0</v>
      </c>
      <c r="U12" s="243">
        <f>0</f>
        <v>0</v>
      </c>
      <c r="V12" s="243">
        <f>0</f>
        <v>0</v>
      </c>
      <c r="W12" s="243">
        <f>0</f>
        <v>0</v>
      </c>
      <c r="X12" s="243">
        <f>0</f>
        <v>0</v>
      </c>
      <c r="Y12" s="243">
        <f>0</f>
        <v>0</v>
      </c>
      <c r="Z12" s="243">
        <f>0</f>
        <v>0</v>
      </c>
      <c r="AA12" s="243">
        <f>0</f>
        <v>0</v>
      </c>
      <c r="AB12" s="243">
        <f>0</f>
        <v>0</v>
      </c>
      <c r="AC12" s="243">
        <f>0</f>
        <v>0</v>
      </c>
      <c r="AD12" s="243">
        <f>0</f>
        <v>0</v>
      </c>
      <c r="AE12" s="243">
        <f>0</f>
        <v>0</v>
      </c>
      <c r="AF12" s="243">
        <f>0</f>
        <v>0</v>
      </c>
      <c r="AG12" s="243">
        <f>0</f>
        <v>0</v>
      </c>
    </row>
    <row r="13" spans="1:33" ht="24">
      <c r="A13" s="84"/>
      <c r="B13" s="86" t="s">
        <v>354</v>
      </c>
      <c r="C13" s="243">
        <f>693738</f>
        <v>693738</v>
      </c>
      <c r="D13" s="243">
        <f>634610</f>
        <v>634610</v>
      </c>
      <c r="E13" s="243">
        <f>0</f>
        <v>0</v>
      </c>
      <c r="F13" s="243">
        <f>0</f>
        <v>0</v>
      </c>
      <c r="G13" s="243">
        <f>0</f>
        <v>0</v>
      </c>
      <c r="H13" s="243">
        <f>0</f>
        <v>0</v>
      </c>
      <c r="I13" s="243">
        <f>0</f>
        <v>0</v>
      </c>
      <c r="J13" s="243">
        <f>0</f>
        <v>0</v>
      </c>
      <c r="K13" s="243">
        <f>0</f>
        <v>0</v>
      </c>
      <c r="L13" s="243">
        <f>0</f>
        <v>0</v>
      </c>
      <c r="M13" s="243">
        <f>0</f>
        <v>0</v>
      </c>
      <c r="N13" s="243">
        <f>0</f>
        <v>0</v>
      </c>
      <c r="O13" s="243">
        <f>0</f>
        <v>0</v>
      </c>
      <c r="P13" s="243">
        <f>0</f>
        <v>0</v>
      </c>
      <c r="Q13" s="243">
        <f>0</f>
        <v>0</v>
      </c>
      <c r="R13" s="243">
        <f>0</f>
        <v>0</v>
      </c>
      <c r="S13" s="243">
        <f>0</f>
        <v>0</v>
      </c>
      <c r="T13" s="243">
        <f>0</f>
        <v>0</v>
      </c>
      <c r="U13" s="243">
        <f>0</f>
        <v>0</v>
      </c>
      <c r="V13" s="243">
        <f>0</f>
        <v>0</v>
      </c>
      <c r="W13" s="243">
        <f>0</f>
        <v>0</v>
      </c>
      <c r="X13" s="243">
        <f>0</f>
        <v>0</v>
      </c>
      <c r="Y13" s="243">
        <f>0</f>
        <v>0</v>
      </c>
      <c r="Z13" s="243">
        <f>0</f>
        <v>0</v>
      </c>
      <c r="AA13" s="243">
        <f>0</f>
        <v>0</v>
      </c>
      <c r="AB13" s="243">
        <f>0</f>
        <v>0</v>
      </c>
      <c r="AC13" s="243">
        <f>0</f>
        <v>0</v>
      </c>
      <c r="AD13" s="243">
        <f>0</f>
        <v>0</v>
      </c>
      <c r="AE13" s="243">
        <f>0</f>
        <v>0</v>
      </c>
      <c r="AF13" s="243">
        <f>0</f>
        <v>0</v>
      </c>
      <c r="AG13" s="243">
        <f>0</f>
        <v>0</v>
      </c>
    </row>
    <row r="14" spans="1:33" ht="14.25">
      <c r="A14" s="100"/>
      <c r="B14" s="238" t="s">
        <v>358</v>
      </c>
      <c r="C14" s="244">
        <f>693738</f>
        <v>693738</v>
      </c>
      <c r="D14" s="244">
        <f>634610</f>
        <v>634610</v>
      </c>
      <c r="E14" s="244">
        <f>0</f>
        <v>0</v>
      </c>
      <c r="F14" s="244">
        <f>0</f>
        <v>0</v>
      </c>
      <c r="G14" s="244">
        <f>0</f>
        <v>0</v>
      </c>
      <c r="H14" s="244">
        <f>0</f>
        <v>0</v>
      </c>
      <c r="I14" s="244">
        <f>0</f>
        <v>0</v>
      </c>
      <c r="J14" s="244">
        <f>0</f>
        <v>0</v>
      </c>
      <c r="K14" s="244">
        <f>0</f>
        <v>0</v>
      </c>
      <c r="L14" s="244">
        <f>0</f>
        <v>0</v>
      </c>
      <c r="M14" s="244">
        <f>0</f>
        <v>0</v>
      </c>
      <c r="N14" s="244">
        <f>0</f>
        <v>0</v>
      </c>
      <c r="O14" s="244">
        <f>0</f>
        <v>0</v>
      </c>
      <c r="P14" s="244">
        <f>0</f>
        <v>0</v>
      </c>
      <c r="Q14" s="244">
        <f>0</f>
        <v>0</v>
      </c>
      <c r="R14" s="244">
        <f>0</f>
        <v>0</v>
      </c>
      <c r="S14" s="244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</row>
    <row r="15" spans="1:33" ht="24">
      <c r="A15" s="98"/>
      <c r="B15" s="99" t="s">
        <v>3</v>
      </c>
      <c r="C15" s="239">
        <f>21085526</f>
        <v>21085526</v>
      </c>
      <c r="D15" s="239">
        <f>21485610</f>
        <v>21485610</v>
      </c>
      <c r="E15" s="239">
        <f>22072000</f>
        <v>22072000</v>
      </c>
      <c r="F15" s="239">
        <f>22588000</f>
        <v>22588000</v>
      </c>
      <c r="G15" s="239">
        <f>22830000</f>
        <v>22830000</v>
      </c>
      <c r="H15" s="239">
        <f>23175000</f>
        <v>23175000</v>
      </c>
      <c r="I15" s="239">
        <f>23410000</f>
        <v>23410000</v>
      </c>
      <c r="J15" s="239">
        <f>23640000</f>
        <v>23640000</v>
      </c>
      <c r="K15" s="239">
        <f>24000000</f>
        <v>24000000</v>
      </c>
      <c r="L15" s="239">
        <f>0</f>
        <v>0</v>
      </c>
      <c r="M15" s="239">
        <f>0</f>
        <v>0</v>
      </c>
      <c r="N15" s="239">
        <f>0</f>
        <v>0</v>
      </c>
      <c r="O15" s="239">
        <f>0</f>
        <v>0</v>
      </c>
      <c r="P15" s="239">
        <f>0</f>
        <v>0</v>
      </c>
      <c r="Q15" s="239">
        <f>0</f>
        <v>0</v>
      </c>
      <c r="R15" s="239">
        <f>0</f>
        <v>0</v>
      </c>
      <c r="S15" s="239">
        <f>0</f>
        <v>0</v>
      </c>
      <c r="T15" s="239">
        <f>0</f>
        <v>0</v>
      </c>
      <c r="U15" s="239">
        <f>0</f>
        <v>0</v>
      </c>
      <c r="V15" s="239">
        <f>0</f>
        <v>0</v>
      </c>
      <c r="W15" s="239">
        <f>0</f>
        <v>0</v>
      </c>
      <c r="X15" s="239">
        <f>0</f>
        <v>0</v>
      </c>
      <c r="Y15" s="239">
        <f>0</f>
        <v>0</v>
      </c>
      <c r="Z15" s="239">
        <f>0</f>
        <v>0</v>
      </c>
      <c r="AA15" s="239">
        <f>0</f>
        <v>0</v>
      </c>
      <c r="AB15" s="239">
        <f>0</f>
        <v>0</v>
      </c>
      <c r="AC15" s="239">
        <f>0</f>
        <v>0</v>
      </c>
      <c r="AD15" s="239">
        <f>0</f>
        <v>0</v>
      </c>
      <c r="AE15" s="239">
        <f>0</f>
        <v>0</v>
      </c>
      <c r="AF15" s="239">
        <f>0</f>
        <v>0</v>
      </c>
      <c r="AG15" s="239">
        <f>0</f>
        <v>0</v>
      </c>
    </row>
    <row r="16" spans="1:33" ht="14.25">
      <c r="A16" s="84"/>
      <c r="B16" s="85" t="s">
        <v>4</v>
      </c>
      <c r="C16" s="243">
        <f>0</f>
        <v>0</v>
      </c>
      <c r="D16" s="243">
        <f>0</f>
        <v>0</v>
      </c>
      <c r="E16" s="243">
        <f>0</f>
        <v>0</v>
      </c>
      <c r="F16" s="243">
        <f>0</f>
        <v>0</v>
      </c>
      <c r="G16" s="243">
        <f>0</f>
        <v>0</v>
      </c>
      <c r="H16" s="243">
        <f>0</f>
        <v>0</v>
      </c>
      <c r="I16" s="243">
        <f>0</f>
        <v>0</v>
      </c>
      <c r="J16" s="243">
        <f>0</f>
        <v>0</v>
      </c>
      <c r="K16" s="243">
        <f>0</f>
        <v>0</v>
      </c>
      <c r="L16" s="243">
        <f>0</f>
        <v>0</v>
      </c>
      <c r="M16" s="243">
        <f>0</f>
        <v>0</v>
      </c>
      <c r="N16" s="243">
        <f>0</f>
        <v>0</v>
      </c>
      <c r="O16" s="243">
        <f>0</f>
        <v>0</v>
      </c>
      <c r="P16" s="243">
        <f>0</f>
        <v>0</v>
      </c>
      <c r="Q16" s="243">
        <f>0</f>
        <v>0</v>
      </c>
      <c r="R16" s="243">
        <f>0</f>
        <v>0</v>
      </c>
      <c r="S16" s="243">
        <f>0</f>
        <v>0</v>
      </c>
      <c r="T16" s="243">
        <f>0</f>
        <v>0</v>
      </c>
      <c r="U16" s="243">
        <f>0</f>
        <v>0</v>
      </c>
      <c r="V16" s="243">
        <f>0</f>
        <v>0</v>
      </c>
      <c r="W16" s="243">
        <f>0</f>
        <v>0</v>
      </c>
      <c r="X16" s="243">
        <f>0</f>
        <v>0</v>
      </c>
      <c r="Y16" s="243">
        <f>0</f>
        <v>0</v>
      </c>
      <c r="Z16" s="243">
        <f>0</f>
        <v>0</v>
      </c>
      <c r="AA16" s="243">
        <f>0</f>
        <v>0</v>
      </c>
      <c r="AB16" s="243">
        <f>0</f>
        <v>0</v>
      </c>
      <c r="AC16" s="243">
        <f>0</f>
        <v>0</v>
      </c>
      <c r="AD16" s="243">
        <f>0</f>
        <v>0</v>
      </c>
      <c r="AE16" s="243">
        <f>0</f>
        <v>0</v>
      </c>
      <c r="AF16" s="243">
        <f>0</f>
        <v>0</v>
      </c>
      <c r="AG16" s="243">
        <f>0</f>
        <v>0</v>
      </c>
    </row>
    <row r="17" spans="1:33" ht="14.25">
      <c r="A17" s="84"/>
      <c r="B17" s="85" t="s">
        <v>5</v>
      </c>
      <c r="C17" s="243">
        <f>0</f>
        <v>0</v>
      </c>
      <c r="D17" s="243">
        <f>0</f>
        <v>0</v>
      </c>
      <c r="E17" s="243">
        <f>0</f>
        <v>0</v>
      </c>
      <c r="F17" s="243">
        <f>0</f>
        <v>0</v>
      </c>
      <c r="G17" s="243">
        <f>0</f>
        <v>0</v>
      </c>
      <c r="H17" s="243">
        <f>0</f>
        <v>0</v>
      </c>
      <c r="I17" s="243">
        <f>0</f>
        <v>0</v>
      </c>
      <c r="J17" s="243">
        <f>0</f>
        <v>0</v>
      </c>
      <c r="K17" s="243">
        <f>0</f>
        <v>0</v>
      </c>
      <c r="L17" s="243">
        <f>0</f>
        <v>0</v>
      </c>
      <c r="M17" s="243">
        <f>0</f>
        <v>0</v>
      </c>
      <c r="N17" s="243">
        <f>0</f>
        <v>0</v>
      </c>
      <c r="O17" s="243">
        <f>0</f>
        <v>0</v>
      </c>
      <c r="P17" s="243">
        <f>0</f>
        <v>0</v>
      </c>
      <c r="Q17" s="243">
        <f>0</f>
        <v>0</v>
      </c>
      <c r="R17" s="243">
        <f>0</f>
        <v>0</v>
      </c>
      <c r="S17" s="243">
        <f>0</f>
        <v>0</v>
      </c>
      <c r="T17" s="243">
        <f>0</f>
        <v>0</v>
      </c>
      <c r="U17" s="243">
        <f>0</f>
        <v>0</v>
      </c>
      <c r="V17" s="243">
        <f>0</f>
        <v>0</v>
      </c>
      <c r="W17" s="243">
        <f>0</f>
        <v>0</v>
      </c>
      <c r="X17" s="243">
        <f>0</f>
        <v>0</v>
      </c>
      <c r="Y17" s="243">
        <f>0</f>
        <v>0</v>
      </c>
      <c r="Z17" s="243">
        <f>0</f>
        <v>0</v>
      </c>
      <c r="AA17" s="243">
        <f>0</f>
        <v>0</v>
      </c>
      <c r="AB17" s="243">
        <f>0</f>
        <v>0</v>
      </c>
      <c r="AC17" s="243">
        <f>0</f>
        <v>0</v>
      </c>
      <c r="AD17" s="243">
        <f>0</f>
        <v>0</v>
      </c>
      <c r="AE17" s="243">
        <f>0</f>
        <v>0</v>
      </c>
      <c r="AF17" s="243">
        <f>0</f>
        <v>0</v>
      </c>
      <c r="AG17" s="243">
        <f>0</f>
        <v>0</v>
      </c>
    </row>
    <row r="18" spans="1:33" ht="14.25">
      <c r="A18" s="84"/>
      <c r="B18" s="85" t="s">
        <v>364</v>
      </c>
      <c r="C18" s="243">
        <f>0</f>
        <v>0</v>
      </c>
      <c r="D18" s="243">
        <f>0</f>
        <v>0</v>
      </c>
      <c r="E18" s="243">
        <f>0</f>
        <v>0</v>
      </c>
      <c r="F18" s="243">
        <f>0</f>
        <v>0</v>
      </c>
      <c r="G18" s="243">
        <f>0</f>
        <v>0</v>
      </c>
      <c r="H18" s="243">
        <f>0</f>
        <v>0</v>
      </c>
      <c r="I18" s="243">
        <f>0</f>
        <v>0</v>
      </c>
      <c r="J18" s="243">
        <f>0</f>
        <v>0</v>
      </c>
      <c r="K18" s="243">
        <f>0</f>
        <v>0</v>
      </c>
      <c r="L18" s="243">
        <f>0</f>
        <v>0</v>
      </c>
      <c r="M18" s="243">
        <f>0</f>
        <v>0</v>
      </c>
      <c r="N18" s="243">
        <f>0</f>
        <v>0</v>
      </c>
      <c r="O18" s="243">
        <f>0</f>
        <v>0</v>
      </c>
      <c r="P18" s="243">
        <f>0</f>
        <v>0</v>
      </c>
      <c r="Q18" s="243">
        <f>0</f>
        <v>0</v>
      </c>
      <c r="R18" s="243">
        <f>0</f>
        <v>0</v>
      </c>
      <c r="S18" s="243">
        <f>0</f>
        <v>0</v>
      </c>
      <c r="T18" s="243">
        <f>0</f>
        <v>0</v>
      </c>
      <c r="U18" s="243">
        <f>0</f>
        <v>0</v>
      </c>
      <c r="V18" s="243">
        <f>0</f>
        <v>0</v>
      </c>
      <c r="W18" s="243">
        <f>0</f>
        <v>0</v>
      </c>
      <c r="X18" s="243">
        <f>0</f>
        <v>0</v>
      </c>
      <c r="Y18" s="243">
        <f>0</f>
        <v>0</v>
      </c>
      <c r="Z18" s="243">
        <f>0</f>
        <v>0</v>
      </c>
      <c r="AA18" s="243">
        <f>0</f>
        <v>0</v>
      </c>
      <c r="AB18" s="243">
        <f>0</f>
        <v>0</v>
      </c>
      <c r="AC18" s="243">
        <f>0</f>
        <v>0</v>
      </c>
      <c r="AD18" s="243">
        <f>0</f>
        <v>0</v>
      </c>
      <c r="AE18" s="243">
        <f>0</f>
        <v>0</v>
      </c>
      <c r="AF18" s="243">
        <f>0</f>
        <v>0</v>
      </c>
      <c r="AG18" s="243">
        <f>0</f>
        <v>0</v>
      </c>
    </row>
    <row r="19" spans="1:33" ht="24">
      <c r="A19" s="84"/>
      <c r="B19" s="88" t="s">
        <v>359</v>
      </c>
      <c r="C19" s="243">
        <f>0</f>
        <v>0</v>
      </c>
      <c r="D19" s="243">
        <f>0</f>
        <v>0</v>
      </c>
      <c r="E19" s="243">
        <f>0</f>
        <v>0</v>
      </c>
      <c r="F19" s="243">
        <f>0</f>
        <v>0</v>
      </c>
      <c r="G19" s="243">
        <f>0</f>
        <v>0</v>
      </c>
      <c r="H19" s="243">
        <f>0</f>
        <v>0</v>
      </c>
      <c r="I19" s="243">
        <f>0</f>
        <v>0</v>
      </c>
      <c r="J19" s="243">
        <f>0</f>
        <v>0</v>
      </c>
      <c r="K19" s="243">
        <f>0</f>
        <v>0</v>
      </c>
      <c r="L19" s="243">
        <f>0</f>
        <v>0</v>
      </c>
      <c r="M19" s="243">
        <f>0</f>
        <v>0</v>
      </c>
      <c r="N19" s="243">
        <f>0</f>
        <v>0</v>
      </c>
      <c r="O19" s="243">
        <f>0</f>
        <v>0</v>
      </c>
      <c r="P19" s="243">
        <f>0</f>
        <v>0</v>
      </c>
      <c r="Q19" s="243">
        <f>0</f>
        <v>0</v>
      </c>
      <c r="R19" s="243">
        <f>0</f>
        <v>0</v>
      </c>
      <c r="S19" s="243">
        <f>0</f>
        <v>0</v>
      </c>
      <c r="T19" s="243">
        <f>0</f>
        <v>0</v>
      </c>
      <c r="U19" s="243">
        <f>0</f>
        <v>0</v>
      </c>
      <c r="V19" s="243">
        <f>0</f>
        <v>0</v>
      </c>
      <c r="W19" s="243">
        <f>0</f>
        <v>0</v>
      </c>
      <c r="X19" s="243">
        <f>0</f>
        <v>0</v>
      </c>
      <c r="Y19" s="243">
        <f>0</f>
        <v>0</v>
      </c>
      <c r="Z19" s="243">
        <f>0</f>
        <v>0</v>
      </c>
      <c r="AA19" s="243">
        <f>0</f>
        <v>0</v>
      </c>
      <c r="AB19" s="243">
        <f>0</f>
        <v>0</v>
      </c>
      <c r="AC19" s="243">
        <f>0</f>
        <v>0</v>
      </c>
      <c r="AD19" s="243">
        <f>0</f>
        <v>0</v>
      </c>
      <c r="AE19" s="243">
        <f>0</f>
        <v>0</v>
      </c>
      <c r="AF19" s="243">
        <f>0</f>
        <v>0</v>
      </c>
      <c r="AG19" s="243">
        <f>0</f>
        <v>0</v>
      </c>
    </row>
    <row r="20" spans="1:33" ht="24">
      <c r="A20" s="84"/>
      <c r="B20" s="89" t="s">
        <v>360</v>
      </c>
      <c r="C20" s="243">
        <f>0</f>
        <v>0</v>
      </c>
      <c r="D20" s="243">
        <f>0</f>
        <v>0</v>
      </c>
      <c r="E20" s="243">
        <f>0</f>
        <v>0</v>
      </c>
      <c r="F20" s="243">
        <f>0</f>
        <v>0</v>
      </c>
      <c r="G20" s="243">
        <f>0</f>
        <v>0</v>
      </c>
      <c r="H20" s="243">
        <f>0</f>
        <v>0</v>
      </c>
      <c r="I20" s="243">
        <f>0</f>
        <v>0</v>
      </c>
      <c r="J20" s="243">
        <f>0</f>
        <v>0</v>
      </c>
      <c r="K20" s="243">
        <f>0</f>
        <v>0</v>
      </c>
      <c r="L20" s="243">
        <f>0</f>
        <v>0</v>
      </c>
      <c r="M20" s="243">
        <f>0</f>
        <v>0</v>
      </c>
      <c r="N20" s="243">
        <f>0</f>
        <v>0</v>
      </c>
      <c r="O20" s="243">
        <f>0</f>
        <v>0</v>
      </c>
      <c r="P20" s="243">
        <f>0</f>
        <v>0</v>
      </c>
      <c r="Q20" s="243">
        <f>0</f>
        <v>0</v>
      </c>
      <c r="R20" s="243">
        <f>0</f>
        <v>0</v>
      </c>
      <c r="S20" s="243">
        <f>0</f>
        <v>0</v>
      </c>
      <c r="T20" s="243">
        <f>0</f>
        <v>0</v>
      </c>
      <c r="U20" s="243">
        <f>0</f>
        <v>0</v>
      </c>
      <c r="V20" s="243">
        <f>0</f>
        <v>0</v>
      </c>
      <c r="W20" s="243">
        <f>0</f>
        <v>0</v>
      </c>
      <c r="X20" s="243">
        <f>0</f>
        <v>0</v>
      </c>
      <c r="Y20" s="243">
        <f>0</f>
        <v>0</v>
      </c>
      <c r="Z20" s="243">
        <f>0</f>
        <v>0</v>
      </c>
      <c r="AA20" s="243">
        <f>0</f>
        <v>0</v>
      </c>
      <c r="AB20" s="243">
        <f>0</f>
        <v>0</v>
      </c>
      <c r="AC20" s="243">
        <f>0</f>
        <v>0</v>
      </c>
      <c r="AD20" s="243">
        <f>0</f>
        <v>0</v>
      </c>
      <c r="AE20" s="243">
        <f>0</f>
        <v>0</v>
      </c>
      <c r="AF20" s="243">
        <f>0</f>
        <v>0</v>
      </c>
      <c r="AG20" s="243">
        <f>0</f>
        <v>0</v>
      </c>
    </row>
    <row r="21" spans="1:33" ht="14.25">
      <c r="A21" s="84"/>
      <c r="B21" s="85" t="s">
        <v>361</v>
      </c>
      <c r="C21" s="243">
        <f>180044</f>
        <v>180044</v>
      </c>
      <c r="D21" s="243">
        <f>0</f>
        <v>0</v>
      </c>
      <c r="E21" s="243">
        <f>0</f>
        <v>0</v>
      </c>
      <c r="F21" s="243">
        <f>0</f>
        <v>0</v>
      </c>
      <c r="G21" s="243">
        <f>0</f>
        <v>0</v>
      </c>
      <c r="H21" s="243">
        <f>0</f>
        <v>0</v>
      </c>
      <c r="I21" s="243">
        <f>0</f>
        <v>0</v>
      </c>
      <c r="J21" s="243">
        <f>0</f>
        <v>0</v>
      </c>
      <c r="K21" s="243">
        <f>0</f>
        <v>0</v>
      </c>
      <c r="L21" s="243">
        <f>0</f>
        <v>0</v>
      </c>
      <c r="M21" s="243">
        <f>0</f>
        <v>0</v>
      </c>
      <c r="N21" s="243">
        <f>0</f>
        <v>0</v>
      </c>
      <c r="O21" s="243">
        <f>0</f>
        <v>0</v>
      </c>
      <c r="P21" s="243">
        <f>0</f>
        <v>0</v>
      </c>
      <c r="Q21" s="243">
        <f>0</f>
        <v>0</v>
      </c>
      <c r="R21" s="243">
        <f>0</f>
        <v>0</v>
      </c>
      <c r="S21" s="243">
        <f>0</f>
        <v>0</v>
      </c>
      <c r="T21" s="243">
        <f>0</f>
        <v>0</v>
      </c>
      <c r="U21" s="243">
        <f>0</f>
        <v>0</v>
      </c>
      <c r="V21" s="243">
        <f>0</f>
        <v>0</v>
      </c>
      <c r="W21" s="243">
        <f>0</f>
        <v>0</v>
      </c>
      <c r="X21" s="243">
        <f>0</f>
        <v>0</v>
      </c>
      <c r="Y21" s="243">
        <f>0</f>
        <v>0</v>
      </c>
      <c r="Z21" s="243">
        <f>0</f>
        <v>0</v>
      </c>
      <c r="AA21" s="243">
        <f>0</f>
        <v>0</v>
      </c>
      <c r="AB21" s="243">
        <f>0</f>
        <v>0</v>
      </c>
      <c r="AC21" s="243">
        <f>0</f>
        <v>0</v>
      </c>
      <c r="AD21" s="243">
        <f>0</f>
        <v>0</v>
      </c>
      <c r="AE21" s="243">
        <f>0</f>
        <v>0</v>
      </c>
      <c r="AF21" s="243">
        <f>0</f>
        <v>0</v>
      </c>
      <c r="AG21" s="243">
        <f>0</f>
        <v>0</v>
      </c>
    </row>
    <row r="22" spans="1:33" ht="24">
      <c r="A22" s="84"/>
      <c r="B22" s="85" t="s">
        <v>362</v>
      </c>
      <c r="C22" s="243">
        <f>180044</f>
        <v>180044</v>
      </c>
      <c r="D22" s="243">
        <f>0</f>
        <v>0</v>
      </c>
      <c r="E22" s="243">
        <f>0</f>
        <v>0</v>
      </c>
      <c r="F22" s="243">
        <f>0</f>
        <v>0</v>
      </c>
      <c r="G22" s="243">
        <f>0</f>
        <v>0</v>
      </c>
      <c r="H22" s="243">
        <f>0</f>
        <v>0</v>
      </c>
      <c r="I22" s="243">
        <f>0</f>
        <v>0</v>
      </c>
      <c r="J22" s="243">
        <f>0</f>
        <v>0</v>
      </c>
      <c r="K22" s="243">
        <f>0</f>
        <v>0</v>
      </c>
      <c r="L22" s="243">
        <f>0</f>
        <v>0</v>
      </c>
      <c r="M22" s="243">
        <f>0</f>
        <v>0</v>
      </c>
      <c r="N22" s="243">
        <f>0</f>
        <v>0</v>
      </c>
      <c r="O22" s="243">
        <f>0</f>
        <v>0</v>
      </c>
      <c r="P22" s="243">
        <f>0</f>
        <v>0</v>
      </c>
      <c r="Q22" s="243">
        <f>0</f>
        <v>0</v>
      </c>
      <c r="R22" s="243">
        <f>0</f>
        <v>0</v>
      </c>
      <c r="S22" s="243">
        <f>0</f>
        <v>0</v>
      </c>
      <c r="T22" s="243">
        <f>0</f>
        <v>0</v>
      </c>
      <c r="U22" s="243">
        <f>0</f>
        <v>0</v>
      </c>
      <c r="V22" s="243">
        <f>0</f>
        <v>0</v>
      </c>
      <c r="W22" s="243">
        <f>0</f>
        <v>0</v>
      </c>
      <c r="X22" s="243">
        <f>0</f>
        <v>0</v>
      </c>
      <c r="Y22" s="243">
        <f>0</f>
        <v>0</v>
      </c>
      <c r="Z22" s="243">
        <f>0</f>
        <v>0</v>
      </c>
      <c r="AA22" s="243">
        <f>0</f>
        <v>0</v>
      </c>
      <c r="AB22" s="243">
        <f>0</f>
        <v>0</v>
      </c>
      <c r="AC22" s="243">
        <f>0</f>
        <v>0</v>
      </c>
      <c r="AD22" s="243">
        <f>0</f>
        <v>0</v>
      </c>
      <c r="AE22" s="243">
        <f>0</f>
        <v>0</v>
      </c>
      <c r="AF22" s="243">
        <f>0</f>
        <v>0</v>
      </c>
      <c r="AG22" s="243">
        <f>0</f>
        <v>0</v>
      </c>
    </row>
    <row r="23" spans="1:33" ht="14.25">
      <c r="A23" s="100"/>
      <c r="B23" s="101" t="s">
        <v>363</v>
      </c>
      <c r="C23" s="244">
        <f>164966</f>
        <v>164966</v>
      </c>
      <c r="D23" s="244">
        <f>0</f>
        <v>0</v>
      </c>
      <c r="E23" s="244">
        <f>0</f>
        <v>0</v>
      </c>
      <c r="F23" s="244">
        <f>0</f>
        <v>0</v>
      </c>
      <c r="G23" s="244">
        <f>0</f>
        <v>0</v>
      </c>
      <c r="H23" s="244">
        <f>0</f>
        <v>0</v>
      </c>
      <c r="I23" s="244">
        <f>0</f>
        <v>0</v>
      </c>
      <c r="J23" s="244">
        <f>0</f>
        <v>0</v>
      </c>
      <c r="K23" s="244">
        <f>0</f>
        <v>0</v>
      </c>
      <c r="L23" s="244">
        <f>0</f>
        <v>0</v>
      </c>
      <c r="M23" s="244">
        <f>0</f>
        <v>0</v>
      </c>
      <c r="N23" s="244">
        <f>0</f>
        <v>0</v>
      </c>
      <c r="O23" s="244">
        <f>0</f>
        <v>0</v>
      </c>
      <c r="P23" s="244">
        <f>0</f>
        <v>0</v>
      </c>
      <c r="Q23" s="244">
        <f>0</f>
        <v>0</v>
      </c>
      <c r="R23" s="244">
        <f>0</f>
        <v>0</v>
      </c>
      <c r="S23" s="244">
        <f>0</f>
        <v>0</v>
      </c>
      <c r="T23" s="244">
        <f>0</f>
        <v>0</v>
      </c>
      <c r="U23" s="244">
        <f>0</f>
        <v>0</v>
      </c>
      <c r="V23" s="244">
        <f>0</f>
        <v>0</v>
      </c>
      <c r="W23" s="244">
        <f>0</f>
        <v>0</v>
      </c>
      <c r="X23" s="244">
        <f>0</f>
        <v>0</v>
      </c>
      <c r="Y23" s="244">
        <f>0</f>
        <v>0</v>
      </c>
      <c r="Z23" s="244">
        <f>0</f>
        <v>0</v>
      </c>
      <c r="AA23" s="244">
        <f>0</f>
        <v>0</v>
      </c>
      <c r="AB23" s="244">
        <f>0</f>
        <v>0</v>
      </c>
      <c r="AC23" s="244">
        <f>0</f>
        <v>0</v>
      </c>
      <c r="AD23" s="244">
        <f>0</f>
        <v>0</v>
      </c>
      <c r="AE23" s="244">
        <f>0</f>
        <v>0</v>
      </c>
      <c r="AF23" s="244">
        <f>0</f>
        <v>0</v>
      </c>
      <c r="AG23" s="244">
        <f>0</f>
        <v>0</v>
      </c>
    </row>
    <row r="24" spans="1:33" ht="14.25">
      <c r="A24" s="81"/>
      <c r="B24" s="33" t="s">
        <v>105</v>
      </c>
      <c r="C24" s="239">
        <f>2181219</f>
        <v>2181219</v>
      </c>
      <c r="D24" s="239">
        <f>2220000</f>
        <v>2220000</v>
      </c>
      <c r="E24" s="239">
        <f>1475000</f>
        <v>1475000</v>
      </c>
      <c r="F24" s="239">
        <f>1430000</f>
        <v>1430000</v>
      </c>
      <c r="G24" s="239">
        <f>1670000</f>
        <v>1670000</v>
      </c>
      <c r="H24" s="239">
        <f>1625000</f>
        <v>1625000</v>
      </c>
      <c r="I24" s="239">
        <f>1690000</f>
        <v>1690000</v>
      </c>
      <c r="J24" s="239">
        <f>1720000</f>
        <v>1720000</v>
      </c>
      <c r="K24" s="239">
        <f>1360000</f>
        <v>1360000</v>
      </c>
      <c r="L24" s="239">
        <f>0</f>
        <v>0</v>
      </c>
      <c r="M24" s="239">
        <f>0</f>
        <v>0</v>
      </c>
      <c r="N24" s="239">
        <f>0</f>
        <v>0</v>
      </c>
      <c r="O24" s="239">
        <f>0</f>
        <v>0</v>
      </c>
      <c r="P24" s="239">
        <f>0</f>
        <v>0</v>
      </c>
      <c r="Q24" s="239">
        <f>0</f>
        <v>0</v>
      </c>
      <c r="R24" s="239">
        <f>0</f>
        <v>0</v>
      </c>
      <c r="S24" s="239">
        <f>0</f>
        <v>0</v>
      </c>
      <c r="T24" s="239">
        <f>0</f>
        <v>0</v>
      </c>
      <c r="U24" s="239">
        <f>0</f>
        <v>0</v>
      </c>
      <c r="V24" s="239">
        <f>0</f>
        <v>0</v>
      </c>
      <c r="W24" s="239">
        <f>0</f>
        <v>0</v>
      </c>
      <c r="X24" s="239">
        <f>0</f>
        <v>0</v>
      </c>
      <c r="Y24" s="239">
        <f>0</f>
        <v>0</v>
      </c>
      <c r="Z24" s="239">
        <f>0</f>
        <v>0</v>
      </c>
      <c r="AA24" s="239">
        <f>0</f>
        <v>0</v>
      </c>
      <c r="AB24" s="239">
        <f>0</f>
        <v>0</v>
      </c>
      <c r="AC24" s="239">
        <f>0</f>
        <v>0</v>
      </c>
      <c r="AD24" s="239">
        <f>0</f>
        <v>0</v>
      </c>
      <c r="AE24" s="239">
        <f>0</f>
        <v>0</v>
      </c>
      <c r="AF24" s="239">
        <f>0</f>
        <v>0</v>
      </c>
      <c r="AG24" s="239">
        <f>0</f>
        <v>0</v>
      </c>
    </row>
    <row r="25" spans="1:33" ht="24">
      <c r="A25" s="98"/>
      <c r="B25" s="99" t="s">
        <v>269</v>
      </c>
      <c r="C25" s="239">
        <f>0</f>
        <v>0</v>
      </c>
      <c r="D25" s="239">
        <f>0</f>
        <v>0</v>
      </c>
      <c r="E25" s="239">
        <f>0</f>
        <v>0</v>
      </c>
      <c r="F25" s="239">
        <f>0</f>
        <v>0</v>
      </c>
      <c r="G25" s="239">
        <f>0</f>
        <v>0</v>
      </c>
      <c r="H25" s="239">
        <f>0</f>
        <v>0</v>
      </c>
      <c r="I25" s="239">
        <f>0</f>
        <v>0</v>
      </c>
      <c r="J25" s="239">
        <f>0</f>
        <v>0</v>
      </c>
      <c r="K25" s="239">
        <f>0</f>
        <v>0</v>
      </c>
      <c r="L25" s="239">
        <f>0</f>
        <v>0</v>
      </c>
      <c r="M25" s="239">
        <f>0</f>
        <v>0</v>
      </c>
      <c r="N25" s="239">
        <f>0</f>
        <v>0</v>
      </c>
      <c r="O25" s="239">
        <f>0</f>
        <v>0</v>
      </c>
      <c r="P25" s="239">
        <f>0</f>
        <v>0</v>
      </c>
      <c r="Q25" s="239">
        <f>0</f>
        <v>0</v>
      </c>
      <c r="R25" s="239">
        <f>0</f>
        <v>0</v>
      </c>
      <c r="S25" s="239">
        <f>0</f>
        <v>0</v>
      </c>
      <c r="T25" s="239">
        <f>0</f>
        <v>0</v>
      </c>
      <c r="U25" s="239">
        <f>0</f>
        <v>0</v>
      </c>
      <c r="V25" s="239">
        <f>0</f>
        <v>0</v>
      </c>
      <c r="W25" s="239">
        <f>0</f>
        <v>0</v>
      </c>
      <c r="X25" s="239">
        <f>0</f>
        <v>0</v>
      </c>
      <c r="Y25" s="239">
        <f>0</f>
        <v>0</v>
      </c>
      <c r="Z25" s="239">
        <f>0</f>
        <v>0</v>
      </c>
      <c r="AA25" s="239">
        <f>0</f>
        <v>0</v>
      </c>
      <c r="AB25" s="239">
        <f>0</f>
        <v>0</v>
      </c>
      <c r="AC25" s="239">
        <f>0</f>
        <v>0</v>
      </c>
      <c r="AD25" s="239">
        <f>0</f>
        <v>0</v>
      </c>
      <c r="AE25" s="239">
        <f>0</f>
        <v>0</v>
      </c>
      <c r="AF25" s="239">
        <f>0</f>
        <v>0</v>
      </c>
      <c r="AG25" s="239">
        <f>0</f>
        <v>0</v>
      </c>
    </row>
    <row r="26" spans="1:33" ht="14.25">
      <c r="A26" s="100"/>
      <c r="B26" s="102" t="s">
        <v>106</v>
      </c>
      <c r="C26" s="244">
        <f>0</f>
        <v>0</v>
      </c>
      <c r="D26" s="244">
        <f>0</f>
        <v>0</v>
      </c>
      <c r="E26" s="244">
        <f>0</f>
        <v>0</v>
      </c>
      <c r="F26" s="244">
        <f>0</f>
        <v>0</v>
      </c>
      <c r="G26" s="244">
        <f>0</f>
        <v>0</v>
      </c>
      <c r="H26" s="244">
        <f>0</f>
        <v>0</v>
      </c>
      <c r="I26" s="244">
        <f>0</f>
        <v>0</v>
      </c>
      <c r="J26" s="244">
        <f>0</f>
        <v>0</v>
      </c>
      <c r="K26" s="244">
        <f>0</f>
        <v>0</v>
      </c>
      <c r="L26" s="244">
        <f>0</f>
        <v>0</v>
      </c>
      <c r="M26" s="244">
        <f>0</f>
        <v>0</v>
      </c>
      <c r="N26" s="244">
        <f>0</f>
        <v>0</v>
      </c>
      <c r="O26" s="244">
        <f>0</f>
        <v>0</v>
      </c>
      <c r="P26" s="244">
        <f>0</f>
        <v>0</v>
      </c>
      <c r="Q26" s="244">
        <f>0</f>
        <v>0</v>
      </c>
      <c r="R26" s="244">
        <f>0</f>
        <v>0</v>
      </c>
      <c r="S26" s="244">
        <f>0</f>
        <v>0</v>
      </c>
      <c r="T26" s="244">
        <f>0</f>
        <v>0</v>
      </c>
      <c r="U26" s="244">
        <f>0</f>
        <v>0</v>
      </c>
      <c r="V26" s="244">
        <f>0</f>
        <v>0</v>
      </c>
      <c r="W26" s="244">
        <f>0</f>
        <v>0</v>
      </c>
      <c r="X26" s="244">
        <f>0</f>
        <v>0</v>
      </c>
      <c r="Y26" s="244">
        <f>0</f>
        <v>0</v>
      </c>
      <c r="Z26" s="244">
        <f>0</f>
        <v>0</v>
      </c>
      <c r="AA26" s="244">
        <f>0</f>
        <v>0</v>
      </c>
      <c r="AB26" s="244">
        <f>0</f>
        <v>0</v>
      </c>
      <c r="AC26" s="244">
        <f>0</f>
        <v>0</v>
      </c>
      <c r="AD26" s="244">
        <f>0</f>
        <v>0</v>
      </c>
      <c r="AE26" s="244">
        <f>0</f>
        <v>0</v>
      </c>
      <c r="AF26" s="244">
        <f>0</f>
        <v>0</v>
      </c>
      <c r="AG26" s="244">
        <f>0</f>
        <v>0</v>
      </c>
    </row>
    <row r="27" spans="1:33" ht="24">
      <c r="A27" s="245"/>
      <c r="B27" s="246" t="s">
        <v>270</v>
      </c>
      <c r="C27" s="239">
        <f>0</f>
        <v>0</v>
      </c>
      <c r="D27" s="239">
        <f>0</f>
        <v>0</v>
      </c>
      <c r="E27" s="239">
        <f>0</f>
        <v>0</v>
      </c>
      <c r="F27" s="239">
        <f>0</f>
        <v>0</v>
      </c>
      <c r="G27" s="239">
        <f>0</f>
        <v>0</v>
      </c>
      <c r="H27" s="239">
        <f>0</f>
        <v>0</v>
      </c>
      <c r="I27" s="239">
        <f>0</f>
        <v>0</v>
      </c>
      <c r="J27" s="239">
        <f>0</f>
        <v>0</v>
      </c>
      <c r="K27" s="239">
        <f>0</f>
        <v>0</v>
      </c>
      <c r="L27" s="239">
        <f>0</f>
        <v>0</v>
      </c>
      <c r="M27" s="239">
        <f>0</f>
        <v>0</v>
      </c>
      <c r="N27" s="239">
        <f>0</f>
        <v>0</v>
      </c>
      <c r="O27" s="239">
        <f>0</f>
        <v>0</v>
      </c>
      <c r="P27" s="239">
        <f>0</f>
        <v>0</v>
      </c>
      <c r="Q27" s="239">
        <f>0</f>
        <v>0</v>
      </c>
      <c r="R27" s="239">
        <f>0</f>
        <v>0</v>
      </c>
      <c r="S27" s="239">
        <f>0</f>
        <v>0</v>
      </c>
      <c r="T27" s="239">
        <f>0</f>
        <v>0</v>
      </c>
      <c r="U27" s="239">
        <f>0</f>
        <v>0</v>
      </c>
      <c r="V27" s="239">
        <f>0</f>
        <v>0</v>
      </c>
      <c r="W27" s="239">
        <f>0</f>
        <v>0</v>
      </c>
      <c r="X27" s="239">
        <f>0</f>
        <v>0</v>
      </c>
      <c r="Y27" s="239">
        <f>0</f>
        <v>0</v>
      </c>
      <c r="Z27" s="239">
        <f>0</f>
        <v>0</v>
      </c>
      <c r="AA27" s="239">
        <f>0</f>
        <v>0</v>
      </c>
      <c r="AB27" s="239">
        <f>0</f>
        <v>0</v>
      </c>
      <c r="AC27" s="239">
        <f>0</f>
        <v>0</v>
      </c>
      <c r="AD27" s="239">
        <f>0</f>
        <v>0</v>
      </c>
      <c r="AE27" s="239">
        <f>0</f>
        <v>0</v>
      </c>
      <c r="AF27" s="239">
        <f>0</f>
        <v>0</v>
      </c>
      <c r="AG27" s="239">
        <f>0</f>
        <v>0</v>
      </c>
    </row>
    <row r="28" spans="1:33" ht="14.25">
      <c r="A28" s="100"/>
      <c r="B28" s="102" t="s">
        <v>106</v>
      </c>
      <c r="C28" s="244">
        <f>0</f>
        <v>0</v>
      </c>
      <c r="D28" s="244">
        <f>0</f>
        <v>0</v>
      </c>
      <c r="E28" s="244">
        <f>0</f>
        <v>0</v>
      </c>
      <c r="F28" s="244">
        <f>0</f>
        <v>0</v>
      </c>
      <c r="G28" s="244">
        <f>0</f>
        <v>0</v>
      </c>
      <c r="H28" s="244">
        <f>0</f>
        <v>0</v>
      </c>
      <c r="I28" s="244">
        <f>0</f>
        <v>0</v>
      </c>
      <c r="J28" s="244">
        <f>0</f>
        <v>0</v>
      </c>
      <c r="K28" s="244">
        <f>0</f>
        <v>0</v>
      </c>
      <c r="L28" s="244">
        <f>0</f>
        <v>0</v>
      </c>
      <c r="M28" s="244">
        <f>0</f>
        <v>0</v>
      </c>
      <c r="N28" s="244">
        <f>0</f>
        <v>0</v>
      </c>
      <c r="O28" s="244">
        <f>0</f>
        <v>0</v>
      </c>
      <c r="P28" s="244">
        <f>0</f>
        <v>0</v>
      </c>
      <c r="Q28" s="244">
        <f>0</f>
        <v>0</v>
      </c>
      <c r="R28" s="244">
        <f>0</f>
        <v>0</v>
      </c>
      <c r="S28" s="244">
        <f>0</f>
        <v>0</v>
      </c>
      <c r="T28" s="244">
        <f>0</f>
        <v>0</v>
      </c>
      <c r="U28" s="244">
        <f>0</f>
        <v>0</v>
      </c>
      <c r="V28" s="244">
        <f>0</f>
        <v>0</v>
      </c>
      <c r="W28" s="244">
        <f>0</f>
        <v>0</v>
      </c>
      <c r="X28" s="244">
        <f>0</f>
        <v>0</v>
      </c>
      <c r="Y28" s="244">
        <f>0</f>
        <v>0</v>
      </c>
      <c r="Z28" s="244">
        <f>0</f>
        <v>0</v>
      </c>
      <c r="AA28" s="244">
        <f>0</f>
        <v>0</v>
      </c>
      <c r="AB28" s="244">
        <f>0</f>
        <v>0</v>
      </c>
      <c r="AC28" s="244">
        <f>0</f>
        <v>0</v>
      </c>
      <c r="AD28" s="244">
        <f>0</f>
        <v>0</v>
      </c>
      <c r="AE28" s="244">
        <f>0</f>
        <v>0</v>
      </c>
      <c r="AF28" s="244">
        <f>0</f>
        <v>0</v>
      </c>
      <c r="AG28" s="244">
        <f>0</f>
        <v>0</v>
      </c>
    </row>
    <row r="29" spans="1:33" ht="14.25">
      <c r="A29" s="98"/>
      <c r="B29" s="99" t="s">
        <v>107</v>
      </c>
      <c r="C29" s="239">
        <f>25000</f>
        <v>25000</v>
      </c>
      <c r="D29" s="239">
        <f>0</f>
        <v>0</v>
      </c>
      <c r="E29" s="239">
        <f>0</f>
        <v>0</v>
      </c>
      <c r="F29" s="239">
        <f>0</f>
        <v>0</v>
      </c>
      <c r="G29" s="239">
        <f>0</f>
        <v>0</v>
      </c>
      <c r="H29" s="239">
        <f>0</f>
        <v>0</v>
      </c>
      <c r="I29" s="239">
        <f>0</f>
        <v>0</v>
      </c>
      <c r="J29" s="239">
        <f>0</f>
        <v>0</v>
      </c>
      <c r="K29" s="239">
        <f>0</f>
        <v>0</v>
      </c>
      <c r="L29" s="239">
        <f>0</f>
        <v>0</v>
      </c>
      <c r="M29" s="239">
        <f>0</f>
        <v>0</v>
      </c>
      <c r="N29" s="239">
        <f>0</f>
        <v>0</v>
      </c>
      <c r="O29" s="239">
        <f>0</f>
        <v>0</v>
      </c>
      <c r="P29" s="239">
        <f>0</f>
        <v>0</v>
      </c>
      <c r="Q29" s="239">
        <f>0</f>
        <v>0</v>
      </c>
      <c r="R29" s="239">
        <f>0</f>
        <v>0</v>
      </c>
      <c r="S29" s="239">
        <f>0</f>
        <v>0</v>
      </c>
      <c r="T29" s="239">
        <f>0</f>
        <v>0</v>
      </c>
      <c r="U29" s="239">
        <f>0</f>
        <v>0</v>
      </c>
      <c r="V29" s="239">
        <f>0</f>
        <v>0</v>
      </c>
      <c r="W29" s="239">
        <f>0</f>
        <v>0</v>
      </c>
      <c r="X29" s="239">
        <f>0</f>
        <v>0</v>
      </c>
      <c r="Y29" s="239">
        <f>0</f>
        <v>0</v>
      </c>
      <c r="Z29" s="239">
        <f>0</f>
        <v>0</v>
      </c>
      <c r="AA29" s="239">
        <f>0</f>
        <v>0</v>
      </c>
      <c r="AB29" s="239">
        <f>0</f>
        <v>0</v>
      </c>
      <c r="AC29" s="239">
        <f>0</f>
        <v>0</v>
      </c>
      <c r="AD29" s="239">
        <f>0</f>
        <v>0</v>
      </c>
      <c r="AE29" s="239">
        <f>0</f>
        <v>0</v>
      </c>
      <c r="AF29" s="239">
        <f>0</f>
        <v>0</v>
      </c>
      <c r="AG29" s="239">
        <f>0</f>
        <v>0</v>
      </c>
    </row>
    <row r="30" spans="1:33" ht="14.25">
      <c r="A30" s="100"/>
      <c r="B30" s="102" t="s">
        <v>106</v>
      </c>
      <c r="C30" s="244">
        <f>0</f>
        <v>0</v>
      </c>
      <c r="D30" s="244">
        <f>0</f>
        <v>0</v>
      </c>
      <c r="E30" s="244">
        <f>0</f>
        <v>0</v>
      </c>
      <c r="F30" s="244">
        <f>0</f>
        <v>0</v>
      </c>
      <c r="G30" s="244">
        <f>0</f>
        <v>0</v>
      </c>
      <c r="H30" s="244">
        <f>0</f>
        <v>0</v>
      </c>
      <c r="I30" s="244">
        <f>0</f>
        <v>0</v>
      </c>
      <c r="J30" s="244">
        <f>0</f>
        <v>0</v>
      </c>
      <c r="K30" s="244">
        <f>0</f>
        <v>0</v>
      </c>
      <c r="L30" s="244">
        <f>0</f>
        <v>0</v>
      </c>
      <c r="M30" s="244">
        <f>0</f>
        <v>0</v>
      </c>
      <c r="N30" s="244">
        <f>0</f>
        <v>0</v>
      </c>
      <c r="O30" s="244">
        <f>0</f>
        <v>0</v>
      </c>
      <c r="P30" s="244">
        <f>0</f>
        <v>0</v>
      </c>
      <c r="Q30" s="244">
        <f>0</f>
        <v>0</v>
      </c>
      <c r="R30" s="244">
        <f>0</f>
        <v>0</v>
      </c>
      <c r="S30" s="244">
        <f>0</f>
        <v>0</v>
      </c>
      <c r="T30" s="244">
        <f>0</f>
        <v>0</v>
      </c>
      <c r="U30" s="244">
        <f>0</f>
        <v>0</v>
      </c>
      <c r="V30" s="244">
        <f>0</f>
        <v>0</v>
      </c>
      <c r="W30" s="244">
        <f>0</f>
        <v>0</v>
      </c>
      <c r="X30" s="244">
        <f>0</f>
        <v>0</v>
      </c>
      <c r="Y30" s="244">
        <f>0</f>
        <v>0</v>
      </c>
      <c r="Z30" s="244">
        <f>0</f>
        <v>0</v>
      </c>
      <c r="AA30" s="244">
        <f>0</f>
        <v>0</v>
      </c>
      <c r="AB30" s="244">
        <f>0</f>
        <v>0</v>
      </c>
      <c r="AC30" s="244">
        <f>0</f>
        <v>0</v>
      </c>
      <c r="AD30" s="244">
        <f>0</f>
        <v>0</v>
      </c>
      <c r="AE30" s="244">
        <f>0</f>
        <v>0</v>
      </c>
      <c r="AF30" s="244">
        <f>0</f>
        <v>0</v>
      </c>
      <c r="AG30" s="244">
        <f>0</f>
        <v>0</v>
      </c>
    </row>
    <row r="31" spans="1:33" ht="14.25">
      <c r="A31" s="81"/>
      <c r="B31" s="33" t="s">
        <v>109</v>
      </c>
      <c r="C31" s="239">
        <f>2206219</f>
        <v>2206219</v>
      </c>
      <c r="D31" s="239">
        <f>2220000</f>
        <v>2220000</v>
      </c>
      <c r="E31" s="239">
        <f>1475000</f>
        <v>1475000</v>
      </c>
      <c r="F31" s="239">
        <f>1430000</f>
        <v>1430000</v>
      </c>
      <c r="G31" s="239">
        <f>1670000</f>
        <v>1670000</v>
      </c>
      <c r="H31" s="239">
        <f>1625000</f>
        <v>1625000</v>
      </c>
      <c r="I31" s="239">
        <f>1690000</f>
        <v>1690000</v>
      </c>
      <c r="J31" s="239">
        <f>1720000</f>
        <v>1720000</v>
      </c>
      <c r="K31" s="239">
        <f>1360000</f>
        <v>1360000</v>
      </c>
      <c r="L31" s="239">
        <f>0</f>
        <v>0</v>
      </c>
      <c r="M31" s="239">
        <f>0</f>
        <v>0</v>
      </c>
      <c r="N31" s="239">
        <f>0</f>
        <v>0</v>
      </c>
      <c r="O31" s="239">
        <f>0</f>
        <v>0</v>
      </c>
      <c r="P31" s="239">
        <f>0</f>
        <v>0</v>
      </c>
      <c r="Q31" s="239">
        <f>0</f>
        <v>0</v>
      </c>
      <c r="R31" s="239">
        <f>0</f>
        <v>0</v>
      </c>
      <c r="S31" s="239">
        <f>0</f>
        <v>0</v>
      </c>
      <c r="T31" s="239">
        <f>0</f>
        <v>0</v>
      </c>
      <c r="U31" s="239">
        <f>0</f>
        <v>0</v>
      </c>
      <c r="V31" s="239">
        <f>0</f>
        <v>0</v>
      </c>
      <c r="W31" s="239">
        <f>0</f>
        <v>0</v>
      </c>
      <c r="X31" s="239">
        <f>0</f>
        <v>0</v>
      </c>
      <c r="Y31" s="239">
        <f>0</f>
        <v>0</v>
      </c>
      <c r="Z31" s="239">
        <f>0</f>
        <v>0</v>
      </c>
      <c r="AA31" s="239">
        <f>0</f>
        <v>0</v>
      </c>
      <c r="AB31" s="239">
        <f>0</f>
        <v>0</v>
      </c>
      <c r="AC31" s="239">
        <f>0</f>
        <v>0</v>
      </c>
      <c r="AD31" s="239">
        <f>0</f>
        <v>0</v>
      </c>
      <c r="AE31" s="239">
        <f>0</f>
        <v>0</v>
      </c>
      <c r="AF31" s="239">
        <f>0</f>
        <v>0</v>
      </c>
      <c r="AG31" s="239">
        <f>0</f>
        <v>0</v>
      </c>
    </row>
    <row r="32" spans="1:33" ht="14.25">
      <c r="A32" s="98"/>
      <c r="B32" s="99" t="s">
        <v>11</v>
      </c>
      <c r="C32" s="239">
        <f>900000</f>
        <v>900000</v>
      </c>
      <c r="D32" s="239">
        <f>1100000</f>
        <v>1100000</v>
      </c>
      <c r="E32" s="239">
        <f>1165000</f>
        <v>1165000</v>
      </c>
      <c r="F32" s="239">
        <f>1100000</f>
        <v>1100000</v>
      </c>
      <c r="G32" s="239">
        <f>1120000</f>
        <v>1120000</v>
      </c>
      <c r="H32" s="239">
        <f>1225000</f>
        <v>1225000</v>
      </c>
      <c r="I32" s="239">
        <f>800000</f>
        <v>800000</v>
      </c>
      <c r="J32" s="239">
        <f>740000</f>
        <v>740000</v>
      </c>
      <c r="K32" s="239">
        <f>540000</f>
        <v>540000</v>
      </c>
      <c r="L32" s="239">
        <f>0</f>
        <v>0</v>
      </c>
      <c r="M32" s="239">
        <f>0</f>
        <v>0</v>
      </c>
      <c r="N32" s="239">
        <f>0</f>
        <v>0</v>
      </c>
      <c r="O32" s="239">
        <f>0</f>
        <v>0</v>
      </c>
      <c r="P32" s="239">
        <f>0</f>
        <v>0</v>
      </c>
      <c r="Q32" s="239">
        <f>0</f>
        <v>0</v>
      </c>
      <c r="R32" s="239">
        <f>0</f>
        <v>0</v>
      </c>
      <c r="S32" s="239">
        <f>0</f>
        <v>0</v>
      </c>
      <c r="T32" s="239">
        <f>0</f>
        <v>0</v>
      </c>
      <c r="U32" s="239">
        <f>0</f>
        <v>0</v>
      </c>
      <c r="V32" s="239">
        <f>0</f>
        <v>0</v>
      </c>
      <c r="W32" s="239">
        <f>0</f>
        <v>0</v>
      </c>
      <c r="X32" s="239">
        <f>0</f>
        <v>0</v>
      </c>
      <c r="Y32" s="239">
        <f>0</f>
        <v>0</v>
      </c>
      <c r="Z32" s="239">
        <f>0</f>
        <v>0</v>
      </c>
      <c r="AA32" s="239">
        <f>0</f>
        <v>0</v>
      </c>
      <c r="AB32" s="239">
        <f>0</f>
        <v>0</v>
      </c>
      <c r="AC32" s="239">
        <f>0</f>
        <v>0</v>
      </c>
      <c r="AD32" s="239">
        <f>0</f>
        <v>0</v>
      </c>
      <c r="AE32" s="239">
        <f>0</f>
        <v>0</v>
      </c>
      <c r="AF32" s="239">
        <f>0</f>
        <v>0</v>
      </c>
      <c r="AG32" s="239">
        <f>0</f>
        <v>0</v>
      </c>
    </row>
    <row r="33" spans="1:33" ht="24">
      <c r="A33" s="84"/>
      <c r="B33" s="89" t="s">
        <v>271</v>
      </c>
      <c r="C33" s="243">
        <f>500000</f>
        <v>500000</v>
      </c>
      <c r="D33" s="243">
        <f>700000</f>
        <v>700000</v>
      </c>
      <c r="E33" s="243">
        <f>790000</f>
        <v>790000</v>
      </c>
      <c r="F33" s="243">
        <f>770000</f>
        <v>770000</v>
      </c>
      <c r="G33" s="243">
        <f>850000</f>
        <v>850000</v>
      </c>
      <c r="H33" s="243">
        <f>1000000</f>
        <v>1000000</v>
      </c>
      <c r="I33" s="243">
        <f>650000</f>
        <v>650000</v>
      </c>
      <c r="J33" s="243">
        <f>640000</f>
        <v>640000</v>
      </c>
      <c r="K33" s="243">
        <f>490000</f>
        <v>490000</v>
      </c>
      <c r="L33" s="243">
        <f>0</f>
        <v>0</v>
      </c>
      <c r="M33" s="243">
        <f>0</f>
        <v>0</v>
      </c>
      <c r="N33" s="243">
        <f>0</f>
        <v>0</v>
      </c>
      <c r="O33" s="243">
        <f>0</f>
        <v>0</v>
      </c>
      <c r="P33" s="243">
        <f>0</f>
        <v>0</v>
      </c>
      <c r="Q33" s="243">
        <f>0</f>
        <v>0</v>
      </c>
      <c r="R33" s="243">
        <f>0</f>
        <v>0</v>
      </c>
      <c r="S33" s="243">
        <f>0</f>
        <v>0</v>
      </c>
      <c r="T33" s="243">
        <f>0</f>
        <v>0</v>
      </c>
      <c r="U33" s="243">
        <f>0</f>
        <v>0</v>
      </c>
      <c r="V33" s="243">
        <f>0</f>
        <v>0</v>
      </c>
      <c r="W33" s="243">
        <f>0</f>
        <v>0</v>
      </c>
      <c r="X33" s="243">
        <f>0</f>
        <v>0</v>
      </c>
      <c r="Y33" s="243">
        <f>0</f>
        <v>0</v>
      </c>
      <c r="Z33" s="243">
        <f>0</f>
        <v>0</v>
      </c>
      <c r="AA33" s="243">
        <f>0</f>
        <v>0</v>
      </c>
      <c r="AB33" s="243">
        <f>0</f>
        <v>0</v>
      </c>
      <c r="AC33" s="243">
        <f>0</f>
        <v>0</v>
      </c>
      <c r="AD33" s="243">
        <f>0</f>
        <v>0</v>
      </c>
      <c r="AE33" s="243">
        <f>0</f>
        <v>0</v>
      </c>
      <c r="AF33" s="243">
        <f>0</f>
        <v>0</v>
      </c>
      <c r="AG33" s="243">
        <f>0</f>
        <v>0</v>
      </c>
    </row>
    <row r="34" spans="1:33" ht="24">
      <c r="A34" s="84"/>
      <c r="B34" s="86" t="s">
        <v>112</v>
      </c>
      <c r="C34" s="243">
        <f>0</f>
        <v>0</v>
      </c>
      <c r="D34" s="243">
        <f>0</f>
        <v>0</v>
      </c>
      <c r="E34" s="243">
        <f>0</f>
        <v>0</v>
      </c>
      <c r="F34" s="243">
        <f>0</f>
        <v>0</v>
      </c>
      <c r="G34" s="243">
        <f>0</f>
        <v>0</v>
      </c>
      <c r="H34" s="243">
        <f>0</f>
        <v>0</v>
      </c>
      <c r="I34" s="243">
        <f>0</f>
        <v>0</v>
      </c>
      <c r="J34" s="243">
        <f>0</f>
        <v>0</v>
      </c>
      <c r="K34" s="243">
        <f>0</f>
        <v>0</v>
      </c>
      <c r="L34" s="243">
        <f>0</f>
        <v>0</v>
      </c>
      <c r="M34" s="243">
        <f>0</f>
        <v>0</v>
      </c>
      <c r="N34" s="243">
        <f>0</f>
        <v>0</v>
      </c>
      <c r="O34" s="243">
        <f>0</f>
        <v>0</v>
      </c>
      <c r="P34" s="243">
        <f>0</f>
        <v>0</v>
      </c>
      <c r="Q34" s="243">
        <f>0</f>
        <v>0</v>
      </c>
      <c r="R34" s="243">
        <f>0</f>
        <v>0</v>
      </c>
      <c r="S34" s="243">
        <f>0</f>
        <v>0</v>
      </c>
      <c r="T34" s="243">
        <f>0</f>
        <v>0</v>
      </c>
      <c r="U34" s="243">
        <f>0</f>
        <v>0</v>
      </c>
      <c r="V34" s="243">
        <f>0</f>
        <v>0</v>
      </c>
      <c r="W34" s="243">
        <f>0</f>
        <v>0</v>
      </c>
      <c r="X34" s="243">
        <f>0</f>
        <v>0</v>
      </c>
      <c r="Y34" s="243">
        <f>0</f>
        <v>0</v>
      </c>
      <c r="Z34" s="243">
        <f>0</f>
        <v>0</v>
      </c>
      <c r="AA34" s="243">
        <f>0</f>
        <v>0</v>
      </c>
      <c r="AB34" s="243">
        <f>0</f>
        <v>0</v>
      </c>
      <c r="AC34" s="243">
        <f>0</f>
        <v>0</v>
      </c>
      <c r="AD34" s="243">
        <f>0</f>
        <v>0</v>
      </c>
      <c r="AE34" s="243">
        <f>0</f>
        <v>0</v>
      </c>
      <c r="AF34" s="243">
        <f>0</f>
        <v>0</v>
      </c>
      <c r="AG34" s="243">
        <f>0</f>
        <v>0</v>
      </c>
    </row>
    <row r="35" spans="1:33" ht="14.25">
      <c r="A35" s="84"/>
      <c r="B35" s="85" t="s">
        <v>272</v>
      </c>
      <c r="C35" s="243">
        <f>400000</f>
        <v>400000</v>
      </c>
      <c r="D35" s="243">
        <f>400000</f>
        <v>400000</v>
      </c>
      <c r="E35" s="243">
        <f>375000</f>
        <v>375000</v>
      </c>
      <c r="F35" s="243">
        <f>330000</f>
        <v>330000</v>
      </c>
      <c r="G35" s="243">
        <f>270000</f>
        <v>270000</v>
      </c>
      <c r="H35" s="243">
        <f>225000</f>
        <v>225000</v>
      </c>
      <c r="I35" s="243">
        <f>150000</f>
        <v>150000</v>
      </c>
      <c r="J35" s="243">
        <f>100000</f>
        <v>100000</v>
      </c>
      <c r="K35" s="243">
        <f>50000</f>
        <v>50000</v>
      </c>
      <c r="L35" s="243">
        <f>0</f>
        <v>0</v>
      </c>
      <c r="M35" s="243">
        <f>0</f>
        <v>0</v>
      </c>
      <c r="N35" s="243">
        <f>0</f>
        <v>0</v>
      </c>
      <c r="O35" s="243">
        <f>0</f>
        <v>0</v>
      </c>
      <c r="P35" s="243">
        <f>0</f>
        <v>0</v>
      </c>
      <c r="Q35" s="243">
        <f>0</f>
        <v>0</v>
      </c>
      <c r="R35" s="243">
        <f>0</f>
        <v>0</v>
      </c>
      <c r="S35" s="243">
        <f>0</f>
        <v>0</v>
      </c>
      <c r="T35" s="243">
        <f>0</f>
        <v>0</v>
      </c>
      <c r="U35" s="243">
        <f>0</f>
        <v>0</v>
      </c>
      <c r="V35" s="243">
        <f>0</f>
        <v>0</v>
      </c>
      <c r="W35" s="243">
        <f>0</f>
        <v>0</v>
      </c>
      <c r="X35" s="243">
        <f>0</f>
        <v>0</v>
      </c>
      <c r="Y35" s="243">
        <f>0</f>
        <v>0</v>
      </c>
      <c r="Z35" s="243">
        <f>0</f>
        <v>0</v>
      </c>
      <c r="AA35" s="243">
        <f>0</f>
        <v>0</v>
      </c>
      <c r="AB35" s="243">
        <f>0</f>
        <v>0</v>
      </c>
      <c r="AC35" s="243">
        <f>0</f>
        <v>0</v>
      </c>
      <c r="AD35" s="243">
        <f>0</f>
        <v>0</v>
      </c>
      <c r="AE35" s="243">
        <f>0</f>
        <v>0</v>
      </c>
      <c r="AF35" s="243">
        <f>0</f>
        <v>0</v>
      </c>
      <c r="AG35" s="243">
        <f>0</f>
        <v>0</v>
      </c>
    </row>
    <row r="36" spans="1:33" ht="14.25">
      <c r="A36" s="100"/>
      <c r="B36" s="101" t="s">
        <v>273</v>
      </c>
      <c r="C36" s="244">
        <f>400000</f>
        <v>400000</v>
      </c>
      <c r="D36" s="244">
        <f>400000</f>
        <v>400000</v>
      </c>
      <c r="E36" s="244">
        <f>375000</f>
        <v>375000</v>
      </c>
      <c r="F36" s="244">
        <f>330000</f>
        <v>330000</v>
      </c>
      <c r="G36" s="244">
        <f>270000</f>
        <v>270000</v>
      </c>
      <c r="H36" s="244">
        <f>225000</f>
        <v>225000</v>
      </c>
      <c r="I36" s="244">
        <f>150000</f>
        <v>150000</v>
      </c>
      <c r="J36" s="244">
        <f>100000</f>
        <v>100000</v>
      </c>
      <c r="K36" s="244">
        <f>50000</f>
        <v>50000</v>
      </c>
      <c r="L36" s="244">
        <f>0</f>
        <v>0</v>
      </c>
      <c r="M36" s="244">
        <f>0</f>
        <v>0</v>
      </c>
      <c r="N36" s="244">
        <f>0</f>
        <v>0</v>
      </c>
      <c r="O36" s="244">
        <f>0</f>
        <v>0</v>
      </c>
      <c r="P36" s="244">
        <f>0</f>
        <v>0</v>
      </c>
      <c r="Q36" s="244">
        <f>0</f>
        <v>0</v>
      </c>
      <c r="R36" s="244">
        <f>0</f>
        <v>0</v>
      </c>
      <c r="S36" s="244">
        <f>0</f>
        <v>0</v>
      </c>
      <c r="T36" s="244">
        <f>0</f>
        <v>0</v>
      </c>
      <c r="U36" s="244">
        <f>0</f>
        <v>0</v>
      </c>
      <c r="V36" s="244">
        <f>0</f>
        <v>0</v>
      </c>
      <c r="W36" s="244">
        <f>0</f>
        <v>0</v>
      </c>
      <c r="X36" s="244">
        <f>0</f>
        <v>0</v>
      </c>
      <c r="Y36" s="244">
        <f>0</f>
        <v>0</v>
      </c>
      <c r="Z36" s="244">
        <f>0</f>
        <v>0</v>
      </c>
      <c r="AA36" s="244">
        <f>0</f>
        <v>0</v>
      </c>
      <c r="AB36" s="244">
        <f>0</f>
        <v>0</v>
      </c>
      <c r="AC36" s="244">
        <f>0</f>
        <v>0</v>
      </c>
      <c r="AD36" s="244">
        <f>0</f>
        <v>0</v>
      </c>
      <c r="AE36" s="244">
        <f>0</f>
        <v>0</v>
      </c>
      <c r="AF36" s="244">
        <f>0</f>
        <v>0</v>
      </c>
      <c r="AG36" s="244">
        <f>0</f>
        <v>0</v>
      </c>
    </row>
    <row r="37" spans="1:33" ht="14.25">
      <c r="A37" s="81"/>
      <c r="B37" s="82" t="s">
        <v>115</v>
      </c>
      <c r="C37" s="239">
        <f>25000</f>
        <v>25000</v>
      </c>
      <c r="D37" s="239">
        <f>0</f>
        <v>0</v>
      </c>
      <c r="E37" s="239">
        <f>0</f>
        <v>0</v>
      </c>
      <c r="F37" s="239">
        <f>0</f>
        <v>0</v>
      </c>
      <c r="G37" s="239">
        <f>0</f>
        <v>0</v>
      </c>
      <c r="H37" s="239">
        <f>0</f>
        <v>0</v>
      </c>
      <c r="I37" s="239">
        <f>0</f>
        <v>0</v>
      </c>
      <c r="J37" s="239">
        <f>0</f>
        <v>0</v>
      </c>
      <c r="K37" s="239">
        <f>0</f>
        <v>0</v>
      </c>
      <c r="L37" s="239">
        <f>0</f>
        <v>0</v>
      </c>
      <c r="M37" s="239">
        <f>0</f>
        <v>0</v>
      </c>
      <c r="N37" s="239">
        <f>0</f>
        <v>0</v>
      </c>
      <c r="O37" s="239">
        <f>0</f>
        <v>0</v>
      </c>
      <c r="P37" s="239">
        <f>0</f>
        <v>0</v>
      </c>
      <c r="Q37" s="239">
        <f>0</f>
        <v>0</v>
      </c>
      <c r="R37" s="239">
        <f>0</f>
        <v>0</v>
      </c>
      <c r="S37" s="239">
        <f>0</f>
        <v>0</v>
      </c>
      <c r="T37" s="239">
        <f>0</f>
        <v>0</v>
      </c>
      <c r="U37" s="239">
        <f>0</f>
        <v>0</v>
      </c>
      <c r="V37" s="239">
        <f>0</f>
        <v>0</v>
      </c>
      <c r="W37" s="239">
        <f>0</f>
        <v>0</v>
      </c>
      <c r="X37" s="239">
        <f>0</f>
        <v>0</v>
      </c>
      <c r="Y37" s="239">
        <f>0</f>
        <v>0</v>
      </c>
      <c r="Z37" s="239">
        <f>0</f>
        <v>0</v>
      </c>
      <c r="AA37" s="239">
        <f>0</f>
        <v>0</v>
      </c>
      <c r="AB37" s="239">
        <f>0</f>
        <v>0</v>
      </c>
      <c r="AC37" s="239">
        <f>0</f>
        <v>0</v>
      </c>
      <c r="AD37" s="239">
        <f>0</f>
        <v>0</v>
      </c>
      <c r="AE37" s="239">
        <f>0</f>
        <v>0</v>
      </c>
      <c r="AF37" s="239">
        <f>0</f>
        <v>0</v>
      </c>
      <c r="AG37" s="239">
        <f>0</f>
        <v>0</v>
      </c>
    </row>
    <row r="38" spans="1:33" ht="14.25">
      <c r="A38" s="81"/>
      <c r="B38" s="33" t="s">
        <v>116</v>
      </c>
      <c r="C38" s="239">
        <f>1281219</f>
        <v>1281219</v>
      </c>
      <c r="D38" s="239">
        <f>1120000</f>
        <v>1120000</v>
      </c>
      <c r="E38" s="239">
        <f>310000</f>
        <v>310000</v>
      </c>
      <c r="F38" s="239">
        <f>330000</f>
        <v>330000</v>
      </c>
      <c r="G38" s="239">
        <f>550000</f>
        <v>550000</v>
      </c>
      <c r="H38" s="239">
        <f>400000</f>
        <v>400000</v>
      </c>
      <c r="I38" s="239">
        <f>890000</f>
        <v>890000</v>
      </c>
      <c r="J38" s="239">
        <f>980000</f>
        <v>980000</v>
      </c>
      <c r="K38" s="239">
        <f>820000</f>
        <v>820000</v>
      </c>
      <c r="L38" s="239">
        <f>0</f>
        <v>0</v>
      </c>
      <c r="M38" s="239">
        <f>0</f>
        <v>0</v>
      </c>
      <c r="N38" s="239">
        <f>0</f>
        <v>0</v>
      </c>
      <c r="O38" s="239">
        <f>0</f>
        <v>0</v>
      </c>
      <c r="P38" s="239">
        <f>0</f>
        <v>0</v>
      </c>
      <c r="Q38" s="239">
        <f>0</f>
        <v>0</v>
      </c>
      <c r="R38" s="239">
        <f>0</f>
        <v>0</v>
      </c>
      <c r="S38" s="239">
        <f>0</f>
        <v>0</v>
      </c>
      <c r="T38" s="239">
        <f>0</f>
        <v>0</v>
      </c>
      <c r="U38" s="239">
        <f>0</f>
        <v>0</v>
      </c>
      <c r="V38" s="239">
        <f>0</f>
        <v>0</v>
      </c>
      <c r="W38" s="239">
        <f>0</f>
        <v>0</v>
      </c>
      <c r="X38" s="239">
        <f>0</f>
        <v>0</v>
      </c>
      <c r="Y38" s="239">
        <f>0</f>
        <v>0</v>
      </c>
      <c r="Z38" s="239">
        <f>0</f>
        <v>0</v>
      </c>
      <c r="AA38" s="239">
        <f>0</f>
        <v>0</v>
      </c>
      <c r="AB38" s="239">
        <f>0</f>
        <v>0</v>
      </c>
      <c r="AC38" s="239">
        <f>0</f>
        <v>0</v>
      </c>
      <c r="AD38" s="239">
        <f>0</f>
        <v>0</v>
      </c>
      <c r="AE38" s="239">
        <f>0</f>
        <v>0</v>
      </c>
      <c r="AF38" s="239">
        <f>0</f>
        <v>0</v>
      </c>
      <c r="AG38" s="239">
        <f>0</f>
        <v>0</v>
      </c>
    </row>
    <row r="39" spans="1:33" ht="14.25">
      <c r="A39" s="98"/>
      <c r="B39" s="99" t="s">
        <v>17</v>
      </c>
      <c r="C39" s="239">
        <f>3281219</f>
        <v>3281219</v>
      </c>
      <c r="D39" s="239">
        <f>2120000</f>
        <v>2120000</v>
      </c>
      <c r="E39" s="239">
        <f>310000</f>
        <v>310000</v>
      </c>
      <c r="F39" s="239">
        <f>330000</f>
        <v>330000</v>
      </c>
      <c r="G39" s="239">
        <f>550000</f>
        <v>550000</v>
      </c>
      <c r="H39" s="239">
        <f>400000</f>
        <v>400000</v>
      </c>
      <c r="I39" s="239">
        <f>890000</f>
        <v>890000</v>
      </c>
      <c r="J39" s="239">
        <f>980000</f>
        <v>980000</v>
      </c>
      <c r="K39" s="239">
        <f>820000</f>
        <v>820000</v>
      </c>
      <c r="L39" s="239">
        <f>0</f>
        <v>0</v>
      </c>
      <c r="M39" s="239">
        <f>0</f>
        <v>0</v>
      </c>
      <c r="N39" s="239">
        <f>0</f>
        <v>0</v>
      </c>
      <c r="O39" s="239">
        <f>0</f>
        <v>0</v>
      </c>
      <c r="P39" s="239">
        <f>0</f>
        <v>0</v>
      </c>
      <c r="Q39" s="239">
        <f>0</f>
        <v>0</v>
      </c>
      <c r="R39" s="239">
        <f>0</f>
        <v>0</v>
      </c>
      <c r="S39" s="239">
        <f>0</f>
        <v>0</v>
      </c>
      <c r="T39" s="239">
        <f>0</f>
        <v>0</v>
      </c>
      <c r="U39" s="239">
        <f>0</f>
        <v>0</v>
      </c>
      <c r="V39" s="239">
        <f>0</f>
        <v>0</v>
      </c>
      <c r="W39" s="239">
        <f>0</f>
        <v>0</v>
      </c>
      <c r="X39" s="239">
        <f>0</f>
        <v>0</v>
      </c>
      <c r="Y39" s="239">
        <f>0</f>
        <v>0</v>
      </c>
      <c r="Z39" s="239">
        <f>0</f>
        <v>0</v>
      </c>
      <c r="AA39" s="239">
        <f>0</f>
        <v>0</v>
      </c>
      <c r="AB39" s="239">
        <f>0</f>
        <v>0</v>
      </c>
      <c r="AC39" s="239">
        <f>0</f>
        <v>0</v>
      </c>
      <c r="AD39" s="239">
        <f>0</f>
        <v>0</v>
      </c>
      <c r="AE39" s="239">
        <f>0</f>
        <v>0</v>
      </c>
      <c r="AF39" s="239">
        <f>0</f>
        <v>0</v>
      </c>
      <c r="AG39" s="239">
        <f>0</f>
        <v>0</v>
      </c>
    </row>
    <row r="40" spans="1:33" ht="14.25">
      <c r="A40" s="84"/>
      <c r="B40" s="85" t="s">
        <v>118</v>
      </c>
      <c r="C40" s="243">
        <f>1820000</f>
        <v>1820000</v>
      </c>
      <c r="D40" s="243">
        <f>2020000</f>
        <v>2020000</v>
      </c>
      <c r="E40" s="243">
        <f>0</f>
        <v>0</v>
      </c>
      <c r="F40" s="243">
        <f>0</f>
        <v>0</v>
      </c>
      <c r="G40" s="243">
        <f>0</f>
        <v>0</v>
      </c>
      <c r="H40" s="243">
        <f>0</f>
        <v>0</v>
      </c>
      <c r="I40" s="243">
        <f>0</f>
        <v>0</v>
      </c>
      <c r="J40" s="243">
        <f>0</f>
        <v>0</v>
      </c>
      <c r="K40" s="243">
        <f>0</f>
        <v>0</v>
      </c>
      <c r="L40" s="243">
        <f>0</f>
        <v>0</v>
      </c>
      <c r="M40" s="243">
        <f>0</f>
        <v>0</v>
      </c>
      <c r="N40" s="243">
        <f>0</f>
        <v>0</v>
      </c>
      <c r="O40" s="243">
        <f>0</f>
        <v>0</v>
      </c>
      <c r="P40" s="243">
        <f>0</f>
        <v>0</v>
      </c>
      <c r="Q40" s="243">
        <f>0</f>
        <v>0</v>
      </c>
      <c r="R40" s="243">
        <f>0</f>
        <v>0</v>
      </c>
      <c r="S40" s="243">
        <f>0</f>
        <v>0</v>
      </c>
      <c r="T40" s="243">
        <f>0</f>
        <v>0</v>
      </c>
      <c r="U40" s="243">
        <f>0</f>
        <v>0</v>
      </c>
      <c r="V40" s="243">
        <f>0</f>
        <v>0</v>
      </c>
      <c r="W40" s="243">
        <f>0</f>
        <v>0</v>
      </c>
      <c r="X40" s="243">
        <f>0</f>
        <v>0</v>
      </c>
      <c r="Y40" s="243">
        <f>0</f>
        <v>0</v>
      </c>
      <c r="Z40" s="243">
        <f>0</f>
        <v>0</v>
      </c>
      <c r="AA40" s="243">
        <f>0</f>
        <v>0</v>
      </c>
      <c r="AB40" s="243">
        <f>0</f>
        <v>0</v>
      </c>
      <c r="AC40" s="243">
        <f>0</f>
        <v>0</v>
      </c>
      <c r="AD40" s="243">
        <f>0</f>
        <v>0</v>
      </c>
      <c r="AE40" s="243">
        <f>0</f>
        <v>0</v>
      </c>
      <c r="AF40" s="243">
        <f>0</f>
        <v>0</v>
      </c>
      <c r="AG40" s="243">
        <f>0</f>
        <v>0</v>
      </c>
    </row>
    <row r="41" spans="1:33" ht="24">
      <c r="A41" s="84"/>
      <c r="B41" s="85" t="s">
        <v>268</v>
      </c>
      <c r="C41" s="243">
        <f>910000</f>
        <v>910000</v>
      </c>
      <c r="D41" s="243">
        <f>920000</f>
        <v>920000</v>
      </c>
      <c r="E41" s="243">
        <f>0</f>
        <v>0</v>
      </c>
      <c r="F41" s="243">
        <f>0</f>
        <v>0</v>
      </c>
      <c r="G41" s="243">
        <f>0</f>
        <v>0</v>
      </c>
      <c r="H41" s="243">
        <f>0</f>
        <v>0</v>
      </c>
      <c r="I41" s="243">
        <f>0</f>
        <v>0</v>
      </c>
      <c r="J41" s="243">
        <f>0</f>
        <v>0</v>
      </c>
      <c r="K41" s="243">
        <f>0</f>
        <v>0</v>
      </c>
      <c r="L41" s="243">
        <f>0</f>
        <v>0</v>
      </c>
      <c r="M41" s="243">
        <f>0</f>
        <v>0</v>
      </c>
      <c r="N41" s="243">
        <f>0</f>
        <v>0</v>
      </c>
      <c r="O41" s="243">
        <f>0</f>
        <v>0</v>
      </c>
      <c r="P41" s="243">
        <f>0</f>
        <v>0</v>
      </c>
      <c r="Q41" s="243">
        <f>0</f>
        <v>0</v>
      </c>
      <c r="R41" s="243">
        <f>0</f>
        <v>0</v>
      </c>
      <c r="S41" s="243">
        <f>0</f>
        <v>0</v>
      </c>
      <c r="T41" s="243">
        <f>0</f>
        <v>0</v>
      </c>
      <c r="U41" s="243">
        <f>0</f>
        <v>0</v>
      </c>
      <c r="V41" s="243">
        <f>0</f>
        <v>0</v>
      </c>
      <c r="W41" s="243">
        <f>0</f>
        <v>0</v>
      </c>
      <c r="X41" s="243">
        <f>0</f>
        <v>0</v>
      </c>
      <c r="Y41" s="243">
        <f>0</f>
        <v>0</v>
      </c>
      <c r="Z41" s="243">
        <f>0</f>
        <v>0</v>
      </c>
      <c r="AA41" s="243">
        <f>0</f>
        <v>0</v>
      </c>
      <c r="AB41" s="243">
        <f>0</f>
        <v>0</v>
      </c>
      <c r="AC41" s="243">
        <f>0</f>
        <v>0</v>
      </c>
      <c r="AD41" s="243">
        <f>0</f>
        <v>0</v>
      </c>
      <c r="AE41" s="243">
        <f>0</f>
        <v>0</v>
      </c>
      <c r="AF41" s="243">
        <f>0</f>
        <v>0</v>
      </c>
      <c r="AG41" s="243">
        <f>0</f>
        <v>0</v>
      </c>
    </row>
    <row r="42" spans="1:33" ht="14.25">
      <c r="A42" s="100"/>
      <c r="B42" s="102" t="s">
        <v>248</v>
      </c>
      <c r="C42" s="244">
        <f>693738</f>
        <v>693738</v>
      </c>
      <c r="D42" s="244">
        <f>634610</f>
        <v>634610</v>
      </c>
      <c r="E42" s="244">
        <f>0</f>
        <v>0</v>
      </c>
      <c r="F42" s="244">
        <f>0</f>
        <v>0</v>
      </c>
      <c r="G42" s="244">
        <f>0</f>
        <v>0</v>
      </c>
      <c r="H42" s="244">
        <f>0</f>
        <v>0</v>
      </c>
      <c r="I42" s="244">
        <f>0</f>
        <v>0</v>
      </c>
      <c r="J42" s="244">
        <f>0</f>
        <v>0</v>
      </c>
      <c r="K42" s="244">
        <f>0</f>
        <v>0</v>
      </c>
      <c r="L42" s="244">
        <f>0</f>
        <v>0</v>
      </c>
      <c r="M42" s="244">
        <f>0</f>
        <v>0</v>
      </c>
      <c r="N42" s="244">
        <f>0</f>
        <v>0</v>
      </c>
      <c r="O42" s="244">
        <f>0</f>
        <v>0</v>
      </c>
      <c r="P42" s="244">
        <f>0</f>
        <v>0</v>
      </c>
      <c r="Q42" s="244">
        <f>0</f>
        <v>0</v>
      </c>
      <c r="R42" s="244">
        <f>0</f>
        <v>0</v>
      </c>
      <c r="S42" s="244">
        <f>0</f>
        <v>0</v>
      </c>
      <c r="T42" s="244">
        <f>0</f>
        <v>0</v>
      </c>
      <c r="U42" s="244">
        <f>0</f>
        <v>0</v>
      </c>
      <c r="V42" s="244">
        <f>0</f>
        <v>0</v>
      </c>
      <c r="W42" s="244">
        <f>0</f>
        <v>0</v>
      </c>
      <c r="X42" s="244">
        <f>0</f>
        <v>0</v>
      </c>
      <c r="Y42" s="244">
        <f>0</f>
        <v>0</v>
      </c>
      <c r="Z42" s="244">
        <f>0</f>
        <v>0</v>
      </c>
      <c r="AA42" s="244">
        <f>0</f>
        <v>0</v>
      </c>
      <c r="AB42" s="244">
        <f>0</f>
        <v>0</v>
      </c>
      <c r="AC42" s="244">
        <f>0</f>
        <v>0</v>
      </c>
      <c r="AD42" s="244">
        <f>0</f>
        <v>0</v>
      </c>
      <c r="AE42" s="244">
        <f>0</f>
        <v>0</v>
      </c>
      <c r="AF42" s="244">
        <f>0</f>
        <v>0</v>
      </c>
      <c r="AG42" s="244">
        <f>0</f>
        <v>0</v>
      </c>
    </row>
    <row r="43" spans="1:33" ht="14.25">
      <c r="A43" s="98"/>
      <c r="B43" s="99" t="s">
        <v>60</v>
      </c>
      <c r="C43" s="239">
        <f>2000000</f>
        <v>2000000</v>
      </c>
      <c r="D43" s="239">
        <f>1000000</f>
        <v>1000000</v>
      </c>
      <c r="E43" s="239">
        <f>0</f>
        <v>0</v>
      </c>
      <c r="F43" s="239">
        <f>0</f>
        <v>0</v>
      </c>
      <c r="G43" s="239">
        <f>0</f>
        <v>0</v>
      </c>
      <c r="H43" s="239">
        <f>0</f>
        <v>0</v>
      </c>
      <c r="I43" s="239">
        <f>0</f>
        <v>0</v>
      </c>
      <c r="J43" s="239">
        <f>0</f>
        <v>0</v>
      </c>
      <c r="K43" s="239">
        <f>0</f>
        <v>0</v>
      </c>
      <c r="L43" s="239">
        <f>0</f>
        <v>0</v>
      </c>
      <c r="M43" s="239">
        <f>0</f>
        <v>0</v>
      </c>
      <c r="N43" s="239">
        <f>0</f>
        <v>0</v>
      </c>
      <c r="O43" s="239">
        <f>0</f>
        <v>0</v>
      </c>
      <c r="P43" s="239">
        <f>0</f>
        <v>0</v>
      </c>
      <c r="Q43" s="239">
        <f>0</f>
        <v>0</v>
      </c>
      <c r="R43" s="239">
        <f>0</f>
        <v>0</v>
      </c>
      <c r="S43" s="239">
        <f>0</f>
        <v>0</v>
      </c>
      <c r="T43" s="239">
        <f>0</f>
        <v>0</v>
      </c>
      <c r="U43" s="239">
        <f>0</f>
        <v>0</v>
      </c>
      <c r="V43" s="239">
        <f>0</f>
        <v>0</v>
      </c>
      <c r="W43" s="239">
        <f>0</f>
        <v>0</v>
      </c>
      <c r="X43" s="239">
        <f>0</f>
        <v>0</v>
      </c>
      <c r="Y43" s="239">
        <f>0</f>
        <v>0</v>
      </c>
      <c r="Z43" s="239">
        <f>0</f>
        <v>0</v>
      </c>
      <c r="AA43" s="239">
        <f>0</f>
        <v>0</v>
      </c>
      <c r="AB43" s="239">
        <f>0</f>
        <v>0</v>
      </c>
      <c r="AC43" s="239">
        <f>0</f>
        <v>0</v>
      </c>
      <c r="AD43" s="239">
        <f>0</f>
        <v>0</v>
      </c>
      <c r="AE43" s="239">
        <f>0</f>
        <v>0</v>
      </c>
      <c r="AF43" s="239">
        <f>0</f>
        <v>0</v>
      </c>
      <c r="AG43" s="239">
        <f>0</f>
        <v>0</v>
      </c>
    </row>
    <row r="44" spans="1:33" ht="14.25">
      <c r="A44" s="100"/>
      <c r="B44" s="102" t="s">
        <v>106</v>
      </c>
      <c r="C44" s="244">
        <f>1500000</f>
        <v>1500000</v>
      </c>
      <c r="D44" s="244">
        <f>300000</f>
        <v>300000</v>
      </c>
      <c r="E44" s="244">
        <f>0</f>
        <v>0</v>
      </c>
      <c r="F44" s="244">
        <f>0</f>
        <v>0</v>
      </c>
      <c r="G44" s="244">
        <f>0</f>
        <v>0</v>
      </c>
      <c r="H44" s="244">
        <f>0</f>
        <v>0</v>
      </c>
      <c r="I44" s="244">
        <f>0</f>
        <v>0</v>
      </c>
      <c r="J44" s="244">
        <f>0</f>
        <v>0</v>
      </c>
      <c r="K44" s="244">
        <f>0</f>
        <v>0</v>
      </c>
      <c r="L44" s="244">
        <f>0</f>
        <v>0</v>
      </c>
      <c r="M44" s="244">
        <f>0</f>
        <v>0</v>
      </c>
      <c r="N44" s="244">
        <f>0</f>
        <v>0</v>
      </c>
      <c r="O44" s="244">
        <f>0</f>
        <v>0</v>
      </c>
      <c r="P44" s="244">
        <f>0</f>
        <v>0</v>
      </c>
      <c r="Q44" s="244">
        <f>0</f>
        <v>0</v>
      </c>
      <c r="R44" s="244">
        <f>0</f>
        <v>0</v>
      </c>
      <c r="S44" s="244">
        <f>0</f>
        <v>0</v>
      </c>
      <c r="T44" s="244">
        <f>0</f>
        <v>0</v>
      </c>
      <c r="U44" s="244">
        <f>0</f>
        <v>0</v>
      </c>
      <c r="V44" s="244">
        <f>0</f>
        <v>0</v>
      </c>
      <c r="W44" s="244">
        <f>0</f>
        <v>0</v>
      </c>
      <c r="X44" s="244">
        <f>0</f>
        <v>0</v>
      </c>
      <c r="Y44" s="244">
        <f>0</f>
        <v>0</v>
      </c>
      <c r="Z44" s="244">
        <f>0</f>
        <v>0</v>
      </c>
      <c r="AA44" s="244">
        <f>0</f>
        <v>0</v>
      </c>
      <c r="AB44" s="244">
        <f>0</f>
        <v>0</v>
      </c>
      <c r="AC44" s="244">
        <f>0</f>
        <v>0</v>
      </c>
      <c r="AD44" s="244">
        <f>0</f>
        <v>0</v>
      </c>
      <c r="AE44" s="244">
        <f>0</f>
        <v>0</v>
      </c>
      <c r="AF44" s="244">
        <f>0</f>
        <v>0</v>
      </c>
      <c r="AG44" s="244">
        <f>0</f>
        <v>0</v>
      </c>
    </row>
    <row r="45" spans="1:33" ht="14.25">
      <c r="A45" s="81"/>
      <c r="B45" s="33" t="s">
        <v>121</v>
      </c>
      <c r="C45" s="239">
        <f>0</f>
        <v>0</v>
      </c>
      <c r="D45" s="239">
        <f>0</f>
        <v>0</v>
      </c>
      <c r="E45" s="239">
        <f>0</f>
        <v>0</v>
      </c>
      <c r="F45" s="239">
        <f>0</f>
        <v>0</v>
      </c>
      <c r="G45" s="239">
        <f>0</f>
        <v>0</v>
      </c>
      <c r="H45" s="239">
        <f>0</f>
        <v>0</v>
      </c>
      <c r="I45" s="239">
        <f>0</f>
        <v>0</v>
      </c>
      <c r="J45" s="239">
        <f>0</f>
        <v>0</v>
      </c>
      <c r="K45" s="239">
        <f>0</f>
        <v>0</v>
      </c>
      <c r="L45" s="239">
        <f>0</f>
        <v>0</v>
      </c>
      <c r="M45" s="239">
        <f>0</f>
        <v>0</v>
      </c>
      <c r="N45" s="239">
        <f>0</f>
        <v>0</v>
      </c>
      <c r="O45" s="239">
        <f>0</f>
        <v>0</v>
      </c>
      <c r="P45" s="239">
        <f>0</f>
        <v>0</v>
      </c>
      <c r="Q45" s="239">
        <f>0</f>
        <v>0</v>
      </c>
      <c r="R45" s="239">
        <f>0</f>
        <v>0</v>
      </c>
      <c r="S45" s="239">
        <f>0</f>
        <v>0</v>
      </c>
      <c r="T45" s="239">
        <f>0</f>
        <v>0</v>
      </c>
      <c r="U45" s="239">
        <f>0</f>
        <v>0</v>
      </c>
      <c r="V45" s="239">
        <f>0</f>
        <v>0</v>
      </c>
      <c r="W45" s="239">
        <f>0</f>
        <v>0</v>
      </c>
      <c r="X45" s="239">
        <f>0</f>
        <v>0</v>
      </c>
      <c r="Y45" s="239">
        <f>0</f>
        <v>0</v>
      </c>
      <c r="Z45" s="239">
        <f>0</f>
        <v>0</v>
      </c>
      <c r="AA45" s="239">
        <f>0</f>
        <v>0</v>
      </c>
      <c r="AB45" s="239">
        <f>0</f>
        <v>0</v>
      </c>
      <c r="AC45" s="239">
        <f>0</f>
        <v>0</v>
      </c>
      <c r="AD45" s="239">
        <f>0</f>
        <v>0</v>
      </c>
      <c r="AE45" s="239">
        <f>0</f>
        <v>0</v>
      </c>
      <c r="AF45" s="239">
        <f>0</f>
        <v>0</v>
      </c>
      <c r="AG45" s="239">
        <f>0</f>
        <v>0</v>
      </c>
    </row>
    <row r="46" spans="1:33" ht="14.25">
      <c r="A46" s="98"/>
      <c r="B46" s="99" t="s">
        <v>274</v>
      </c>
      <c r="C46" s="239">
        <f>4890000</f>
        <v>4890000</v>
      </c>
      <c r="D46" s="239">
        <f>5190000</f>
        <v>5190000</v>
      </c>
      <c r="E46" s="239">
        <f>4400000</f>
        <v>4400000</v>
      </c>
      <c r="F46" s="239">
        <f>3630000</f>
        <v>3630000</v>
      </c>
      <c r="G46" s="239">
        <f>2780000</f>
        <v>2780000</v>
      </c>
      <c r="H46" s="239">
        <f>1780000</f>
        <v>1780000</v>
      </c>
      <c r="I46" s="239">
        <f>1130000</f>
        <v>1130000</v>
      </c>
      <c r="J46" s="239">
        <f>490000</f>
        <v>490000</v>
      </c>
      <c r="K46" s="239">
        <f>0</f>
        <v>0</v>
      </c>
      <c r="L46" s="239">
        <f>0</f>
        <v>0</v>
      </c>
      <c r="M46" s="239">
        <f>0</f>
        <v>0</v>
      </c>
      <c r="N46" s="239">
        <f>0</f>
        <v>0</v>
      </c>
      <c r="O46" s="239">
        <f>0</f>
        <v>0</v>
      </c>
      <c r="P46" s="239">
        <f>0</f>
        <v>0</v>
      </c>
      <c r="Q46" s="239">
        <f>0</f>
        <v>0</v>
      </c>
      <c r="R46" s="239">
        <f>0</f>
        <v>0</v>
      </c>
      <c r="S46" s="239">
        <f>0</f>
        <v>0</v>
      </c>
      <c r="T46" s="239">
        <f>0</f>
        <v>0</v>
      </c>
      <c r="U46" s="239">
        <f>0</f>
        <v>0</v>
      </c>
      <c r="V46" s="239">
        <f>0</f>
        <v>0</v>
      </c>
      <c r="W46" s="239">
        <f>0</f>
        <v>0</v>
      </c>
      <c r="X46" s="239">
        <f>0</f>
        <v>0</v>
      </c>
      <c r="Y46" s="239">
        <f>0</f>
        <v>0</v>
      </c>
      <c r="Z46" s="239">
        <f>0</f>
        <v>0</v>
      </c>
      <c r="AA46" s="239">
        <f>0</f>
        <v>0</v>
      </c>
      <c r="AB46" s="239">
        <f>0</f>
        <v>0</v>
      </c>
      <c r="AC46" s="239">
        <f>0</f>
        <v>0</v>
      </c>
      <c r="AD46" s="239">
        <f>0</f>
        <v>0</v>
      </c>
      <c r="AE46" s="239">
        <f>0</f>
        <v>0</v>
      </c>
      <c r="AF46" s="239">
        <f>0</f>
        <v>0</v>
      </c>
      <c r="AG46" s="239">
        <f>0</f>
        <v>0</v>
      </c>
    </row>
    <row r="47" spans="1:33" ht="24">
      <c r="A47" s="100"/>
      <c r="B47" s="102" t="s">
        <v>275</v>
      </c>
      <c r="C47" s="244">
        <f>0</f>
        <v>0</v>
      </c>
      <c r="D47" s="244">
        <f>0</f>
        <v>0</v>
      </c>
      <c r="E47" s="244">
        <f>0</f>
        <v>0</v>
      </c>
      <c r="F47" s="244">
        <f>0</f>
        <v>0</v>
      </c>
      <c r="G47" s="244">
        <f>0</f>
        <v>0</v>
      </c>
      <c r="H47" s="244">
        <f>0</f>
        <v>0</v>
      </c>
      <c r="I47" s="244">
        <f>0</f>
        <v>0</v>
      </c>
      <c r="J47" s="244">
        <f>0</f>
        <v>0</v>
      </c>
      <c r="K47" s="244">
        <f>0</f>
        <v>0</v>
      </c>
      <c r="L47" s="244">
        <f>0</f>
        <v>0</v>
      </c>
      <c r="M47" s="244">
        <f>0</f>
        <v>0</v>
      </c>
      <c r="N47" s="244">
        <f>0</f>
        <v>0</v>
      </c>
      <c r="O47" s="244">
        <f>0</f>
        <v>0</v>
      </c>
      <c r="P47" s="244">
        <f>0</f>
        <v>0</v>
      </c>
      <c r="Q47" s="244">
        <f>0</f>
        <v>0</v>
      </c>
      <c r="R47" s="244">
        <f>0</f>
        <v>0</v>
      </c>
      <c r="S47" s="244">
        <f>0</f>
        <v>0</v>
      </c>
      <c r="T47" s="244">
        <f>0</f>
        <v>0</v>
      </c>
      <c r="U47" s="244">
        <f>0</f>
        <v>0</v>
      </c>
      <c r="V47" s="244">
        <f>0</f>
        <v>0</v>
      </c>
      <c r="W47" s="244">
        <f>0</f>
        <v>0</v>
      </c>
      <c r="X47" s="244">
        <f>0</f>
        <v>0</v>
      </c>
      <c r="Y47" s="244">
        <f>0</f>
        <v>0</v>
      </c>
      <c r="Z47" s="244">
        <f>0</f>
        <v>0</v>
      </c>
      <c r="AA47" s="244">
        <f>0</f>
        <v>0</v>
      </c>
      <c r="AB47" s="244">
        <f>0</f>
        <v>0</v>
      </c>
      <c r="AC47" s="244">
        <f>0</f>
        <v>0</v>
      </c>
      <c r="AD47" s="244">
        <f>0</f>
        <v>0</v>
      </c>
      <c r="AE47" s="244">
        <f>0</f>
        <v>0</v>
      </c>
      <c r="AF47" s="244">
        <f>0</f>
        <v>0</v>
      </c>
      <c r="AG47" s="244">
        <f>0</f>
        <v>0</v>
      </c>
    </row>
    <row r="48" spans="1:33" ht="14.25">
      <c r="A48" s="81"/>
      <c r="B48" s="33" t="s">
        <v>66</v>
      </c>
      <c r="C48" s="239">
        <f>0</f>
        <v>0</v>
      </c>
      <c r="D48" s="239">
        <f>0</f>
        <v>0</v>
      </c>
      <c r="E48" s="239">
        <f>0</f>
        <v>0</v>
      </c>
      <c r="F48" s="239">
        <f>0</f>
        <v>0</v>
      </c>
      <c r="G48" s="239">
        <f>0</f>
        <v>0</v>
      </c>
      <c r="H48" s="239">
        <f>0</f>
        <v>0</v>
      </c>
      <c r="I48" s="239">
        <f>0</f>
        <v>0</v>
      </c>
      <c r="J48" s="239">
        <f>0</f>
        <v>0</v>
      </c>
      <c r="K48" s="239">
        <f>0</f>
        <v>0</v>
      </c>
      <c r="L48" s="239">
        <f>0</f>
        <v>0</v>
      </c>
      <c r="M48" s="239">
        <f>0</f>
        <v>0</v>
      </c>
      <c r="N48" s="239">
        <f>0</f>
        <v>0</v>
      </c>
      <c r="O48" s="239">
        <f>0</f>
        <v>0</v>
      </c>
      <c r="P48" s="239">
        <f>0</f>
        <v>0</v>
      </c>
      <c r="Q48" s="239">
        <f>0</f>
        <v>0</v>
      </c>
      <c r="R48" s="239">
        <f>0</f>
        <v>0</v>
      </c>
      <c r="S48" s="239">
        <f>0</f>
        <v>0</v>
      </c>
      <c r="T48" s="239">
        <f>0</f>
        <v>0</v>
      </c>
      <c r="U48" s="239">
        <f>0</f>
        <v>0</v>
      </c>
      <c r="V48" s="239">
        <f>0</f>
        <v>0</v>
      </c>
      <c r="W48" s="239">
        <f>0</f>
        <v>0</v>
      </c>
      <c r="X48" s="239">
        <f>0</f>
        <v>0</v>
      </c>
      <c r="Y48" s="239">
        <f>0</f>
        <v>0</v>
      </c>
      <c r="Z48" s="239">
        <f>0</f>
        <v>0</v>
      </c>
      <c r="AA48" s="239">
        <f>0</f>
        <v>0</v>
      </c>
      <c r="AB48" s="239">
        <f>0</f>
        <v>0</v>
      </c>
      <c r="AC48" s="239">
        <f>0</f>
        <v>0</v>
      </c>
      <c r="AD48" s="239">
        <f>0</f>
        <v>0</v>
      </c>
      <c r="AE48" s="239">
        <f>0</f>
        <v>0</v>
      </c>
      <c r="AF48" s="239">
        <f>0</f>
        <v>0</v>
      </c>
      <c r="AG48" s="239">
        <f>0</f>
        <v>0</v>
      </c>
    </row>
    <row r="49" spans="1:33" ht="36">
      <c r="A49" s="83"/>
      <c r="B49" s="33" t="s">
        <v>123</v>
      </c>
      <c r="C49" s="239">
        <f>0</f>
        <v>0</v>
      </c>
      <c r="D49" s="239">
        <f>0</f>
        <v>0</v>
      </c>
      <c r="E49" s="239">
        <f>0</f>
        <v>0</v>
      </c>
      <c r="F49" s="239">
        <f>0</f>
        <v>0</v>
      </c>
      <c r="G49" s="239">
        <f>0</f>
        <v>0</v>
      </c>
      <c r="H49" s="239">
        <f>0</f>
        <v>0</v>
      </c>
      <c r="I49" s="239">
        <f>0</f>
        <v>0</v>
      </c>
      <c r="J49" s="239">
        <f>0</f>
        <v>0</v>
      </c>
      <c r="K49" s="239">
        <f>0</f>
        <v>0</v>
      </c>
      <c r="L49" s="239">
        <f>0</f>
        <v>0</v>
      </c>
      <c r="M49" s="239">
        <f>0</f>
        <v>0</v>
      </c>
      <c r="N49" s="239">
        <f>0</f>
        <v>0</v>
      </c>
      <c r="O49" s="239">
        <f>0</f>
        <v>0</v>
      </c>
      <c r="P49" s="239">
        <f>0</f>
        <v>0</v>
      </c>
      <c r="Q49" s="239">
        <f>0</f>
        <v>0</v>
      </c>
      <c r="R49" s="239">
        <f>0</f>
        <v>0</v>
      </c>
      <c r="S49" s="239">
        <f>0</f>
        <v>0</v>
      </c>
      <c r="T49" s="239">
        <f>0</f>
        <v>0</v>
      </c>
      <c r="U49" s="239">
        <f>0</f>
        <v>0</v>
      </c>
      <c r="V49" s="239">
        <f>0</f>
        <v>0</v>
      </c>
      <c r="W49" s="239">
        <f>0</f>
        <v>0</v>
      </c>
      <c r="X49" s="239">
        <f>0</f>
        <v>0</v>
      </c>
      <c r="Y49" s="239">
        <f>0</f>
        <v>0</v>
      </c>
      <c r="Z49" s="239">
        <f>0</f>
        <v>0</v>
      </c>
      <c r="AA49" s="239">
        <f>0</f>
        <v>0</v>
      </c>
      <c r="AB49" s="239">
        <f>0</f>
        <v>0</v>
      </c>
      <c r="AC49" s="239">
        <f>0</f>
        <v>0</v>
      </c>
      <c r="AD49" s="239">
        <f>0</f>
        <v>0</v>
      </c>
      <c r="AE49" s="239">
        <f>0</f>
        <v>0</v>
      </c>
      <c r="AF49" s="239">
        <f>0</f>
        <v>0</v>
      </c>
      <c r="AG49" s="239">
        <f>0</f>
        <v>0</v>
      </c>
    </row>
    <row r="50" spans="1:33" ht="24">
      <c r="A50" s="83"/>
      <c r="B50" s="33" t="s">
        <v>124</v>
      </c>
      <c r="C50" s="239">
        <f>0</f>
        <v>0</v>
      </c>
      <c r="D50" s="239">
        <f>0</f>
        <v>0</v>
      </c>
      <c r="E50" s="239">
        <f>790000</f>
        <v>790000</v>
      </c>
      <c r="F50" s="239">
        <f>770000</f>
        <v>770000</v>
      </c>
      <c r="G50" s="239">
        <f>850000</f>
        <v>850000</v>
      </c>
      <c r="H50" s="239">
        <f>1000000</f>
        <v>1000000</v>
      </c>
      <c r="I50" s="239">
        <f>650000</f>
        <v>650000</v>
      </c>
      <c r="J50" s="239">
        <f>640000</f>
        <v>640000</v>
      </c>
      <c r="K50" s="239">
        <f>490000</f>
        <v>490000</v>
      </c>
      <c r="L50" s="239">
        <f>0</f>
        <v>0</v>
      </c>
      <c r="M50" s="239">
        <f>0</f>
        <v>0</v>
      </c>
      <c r="N50" s="239">
        <f>0</f>
        <v>0</v>
      </c>
      <c r="O50" s="239">
        <f>0</f>
        <v>0</v>
      </c>
      <c r="P50" s="239">
        <f>0</f>
        <v>0</v>
      </c>
      <c r="Q50" s="239">
        <f>0</f>
        <v>0</v>
      </c>
      <c r="R50" s="239">
        <f>0</f>
        <v>0</v>
      </c>
      <c r="S50" s="239">
        <f>0</f>
        <v>0</v>
      </c>
      <c r="T50" s="239">
        <f>0</f>
        <v>0</v>
      </c>
      <c r="U50" s="239">
        <f>0</f>
        <v>0</v>
      </c>
      <c r="V50" s="239">
        <f>0</f>
        <v>0</v>
      </c>
      <c r="W50" s="239">
        <f>0</f>
        <v>0</v>
      </c>
      <c r="X50" s="239">
        <f>0</f>
        <v>0</v>
      </c>
      <c r="Y50" s="239">
        <f>0</f>
        <v>0</v>
      </c>
      <c r="Z50" s="239">
        <f>0</f>
        <v>0</v>
      </c>
      <c r="AA50" s="239">
        <f>0</f>
        <v>0</v>
      </c>
      <c r="AB50" s="239">
        <f>0</f>
        <v>0</v>
      </c>
      <c r="AC50" s="239">
        <f>0</f>
        <v>0</v>
      </c>
      <c r="AD50" s="239">
        <f>0</f>
        <v>0</v>
      </c>
      <c r="AE50" s="239">
        <f>0</f>
        <v>0</v>
      </c>
      <c r="AF50" s="239">
        <f>0</f>
        <v>0</v>
      </c>
      <c r="AG50" s="239">
        <f>0</f>
        <v>0</v>
      </c>
    </row>
    <row r="51" spans="1:33" ht="14.25">
      <c r="A51" s="103"/>
      <c r="B51" s="104" t="s">
        <v>276</v>
      </c>
      <c r="C51" s="239">
        <f>0</f>
        <v>0</v>
      </c>
      <c r="D51" s="239">
        <f>0</f>
        <v>0</v>
      </c>
      <c r="E51" s="239">
        <f>0</f>
        <v>0</v>
      </c>
      <c r="F51" s="239">
        <f>0</f>
        <v>0</v>
      </c>
      <c r="G51" s="239">
        <f>0</f>
        <v>0</v>
      </c>
      <c r="H51" s="239">
        <f>0</f>
        <v>0</v>
      </c>
      <c r="I51" s="239">
        <f>0</f>
        <v>0</v>
      </c>
      <c r="J51" s="239">
        <f>0</f>
        <v>0</v>
      </c>
      <c r="K51" s="239">
        <f>0</f>
        <v>0</v>
      </c>
      <c r="L51" s="239">
        <f>0</f>
        <v>0</v>
      </c>
      <c r="M51" s="239">
        <f>0</f>
        <v>0</v>
      </c>
      <c r="N51" s="239">
        <f>0</f>
        <v>0</v>
      </c>
      <c r="O51" s="239">
        <f>0</f>
        <v>0</v>
      </c>
      <c r="P51" s="239">
        <f>0</f>
        <v>0</v>
      </c>
      <c r="Q51" s="239">
        <f>0</f>
        <v>0</v>
      </c>
      <c r="R51" s="239">
        <f>0</f>
        <v>0</v>
      </c>
      <c r="S51" s="239">
        <f>0</f>
        <v>0</v>
      </c>
      <c r="T51" s="239">
        <f>0</f>
        <v>0</v>
      </c>
      <c r="U51" s="239">
        <f>0</f>
        <v>0</v>
      </c>
      <c r="V51" s="239">
        <f>0</f>
        <v>0</v>
      </c>
      <c r="W51" s="239">
        <f>0</f>
        <v>0</v>
      </c>
      <c r="X51" s="239">
        <f>0</f>
        <v>0</v>
      </c>
      <c r="Y51" s="239">
        <f>0</f>
        <v>0</v>
      </c>
      <c r="Z51" s="239">
        <f>0</f>
        <v>0</v>
      </c>
      <c r="AA51" s="239">
        <f>0</f>
        <v>0</v>
      </c>
      <c r="AB51" s="239">
        <f>0</f>
        <v>0</v>
      </c>
      <c r="AC51" s="239">
        <f>0</f>
        <v>0</v>
      </c>
      <c r="AD51" s="239">
        <f>0</f>
        <v>0</v>
      </c>
      <c r="AE51" s="239">
        <f>0</f>
        <v>0</v>
      </c>
      <c r="AF51" s="239">
        <f>0</f>
        <v>0</v>
      </c>
      <c r="AG51" s="239">
        <f>0</f>
        <v>0</v>
      </c>
    </row>
    <row r="52" spans="1:33" ht="14.25">
      <c r="A52" s="105"/>
      <c r="B52" s="106" t="s">
        <v>277</v>
      </c>
      <c r="C52" s="244">
        <f>0</f>
        <v>0</v>
      </c>
      <c r="D52" s="244">
        <f>0</f>
        <v>0</v>
      </c>
      <c r="E52" s="244">
        <f>0</f>
        <v>0</v>
      </c>
      <c r="F52" s="244">
        <f>0</f>
        <v>0</v>
      </c>
      <c r="G52" s="244">
        <f>0</f>
        <v>0</v>
      </c>
      <c r="H52" s="244">
        <f>0</f>
        <v>0</v>
      </c>
      <c r="I52" s="244">
        <f>0</f>
        <v>0</v>
      </c>
      <c r="J52" s="244">
        <f>0</f>
        <v>0</v>
      </c>
      <c r="K52" s="244">
        <f>0</f>
        <v>0</v>
      </c>
      <c r="L52" s="244">
        <f>0</f>
        <v>0</v>
      </c>
      <c r="M52" s="244">
        <f>0</f>
        <v>0</v>
      </c>
      <c r="N52" s="244">
        <f>0</f>
        <v>0</v>
      </c>
      <c r="O52" s="244">
        <f>0</f>
        <v>0</v>
      </c>
      <c r="P52" s="244">
        <f>0</f>
        <v>0</v>
      </c>
      <c r="Q52" s="244">
        <f>0</f>
        <v>0</v>
      </c>
      <c r="R52" s="244">
        <f>0</f>
        <v>0</v>
      </c>
      <c r="S52" s="244">
        <f>0</f>
        <v>0</v>
      </c>
      <c r="T52" s="244">
        <f>0</f>
        <v>0</v>
      </c>
      <c r="U52" s="244">
        <f>0</f>
        <v>0</v>
      </c>
      <c r="V52" s="244">
        <f>0</f>
        <v>0</v>
      </c>
      <c r="W52" s="244">
        <f>0</f>
        <v>0</v>
      </c>
      <c r="X52" s="244">
        <f>0</f>
        <v>0</v>
      </c>
      <c r="Y52" s="244">
        <f>0</f>
        <v>0</v>
      </c>
      <c r="Z52" s="244">
        <f>0</f>
        <v>0</v>
      </c>
      <c r="AA52" s="244">
        <f>0</f>
        <v>0</v>
      </c>
      <c r="AB52" s="244">
        <f>0</f>
        <v>0</v>
      </c>
      <c r="AC52" s="244">
        <f>0</f>
        <v>0</v>
      </c>
      <c r="AD52" s="244">
        <f>0</f>
        <v>0</v>
      </c>
      <c r="AE52" s="244">
        <f>0</f>
        <v>0</v>
      </c>
      <c r="AF52" s="244">
        <f>0</f>
        <v>0</v>
      </c>
      <c r="AG52" s="244">
        <f>0</f>
        <v>0</v>
      </c>
    </row>
    <row r="53" spans="1:33" ht="24">
      <c r="A53" s="232"/>
      <c r="B53" s="233" t="s">
        <v>278</v>
      </c>
      <c r="C53" s="302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4"/>
    </row>
    <row r="54" spans="1:33" ht="24">
      <c r="A54" s="91"/>
      <c r="B54" s="89" t="s">
        <v>279</v>
      </c>
      <c r="C54" s="248">
        <f>0</f>
        <v>0</v>
      </c>
      <c r="D54" s="248">
        <f>0</f>
        <v>0</v>
      </c>
      <c r="E54" s="248">
        <f>0</f>
        <v>0</v>
      </c>
      <c r="F54" s="248">
        <f>0</f>
        <v>0</v>
      </c>
      <c r="G54" s="248">
        <f>0</f>
        <v>0</v>
      </c>
      <c r="H54" s="248">
        <f>0</f>
        <v>0</v>
      </c>
      <c r="I54" s="248">
        <f>0</f>
        <v>0</v>
      </c>
      <c r="J54" s="248">
        <f>0</f>
        <v>0</v>
      </c>
      <c r="K54" s="248">
        <f>0</f>
        <v>0</v>
      </c>
      <c r="L54" s="248">
        <f>0</f>
        <v>0</v>
      </c>
      <c r="M54" s="248">
        <f>0</f>
        <v>0</v>
      </c>
      <c r="N54" s="248">
        <f>0</f>
        <v>0</v>
      </c>
      <c r="O54" s="248">
        <f>0</f>
        <v>0</v>
      </c>
      <c r="P54" s="248">
        <f>0</f>
        <v>0</v>
      </c>
      <c r="Q54" s="248">
        <f>0</f>
        <v>0</v>
      </c>
      <c r="R54" s="248">
        <f>0</f>
        <v>0</v>
      </c>
      <c r="S54" s="248">
        <f>0</f>
        <v>0</v>
      </c>
      <c r="T54" s="248">
        <f>0</f>
        <v>0</v>
      </c>
      <c r="U54" s="248">
        <f>0</f>
        <v>0</v>
      </c>
      <c r="V54" s="248">
        <f>0</f>
        <v>0</v>
      </c>
      <c r="W54" s="248">
        <f>0</f>
        <v>0</v>
      </c>
      <c r="X54" s="248">
        <f>0</f>
        <v>0</v>
      </c>
      <c r="Y54" s="248">
        <f>0</f>
        <v>0</v>
      </c>
      <c r="Z54" s="248">
        <f>0</f>
        <v>0</v>
      </c>
      <c r="AA54" s="248">
        <f>0</f>
        <v>0</v>
      </c>
      <c r="AB54" s="248">
        <f>0</f>
        <v>0</v>
      </c>
      <c r="AC54" s="248">
        <f>0</f>
        <v>0</v>
      </c>
      <c r="AD54" s="248">
        <f>0</f>
        <v>0</v>
      </c>
      <c r="AE54" s="248">
        <f>0</f>
        <v>0</v>
      </c>
      <c r="AF54" s="248">
        <f>0</f>
        <v>0</v>
      </c>
      <c r="AG54" s="248">
        <f>0</f>
        <v>0</v>
      </c>
    </row>
    <row r="55" spans="1:33" ht="24">
      <c r="A55" s="91"/>
      <c r="B55" s="89" t="s">
        <v>280</v>
      </c>
      <c r="C55" s="243">
        <f>0</f>
        <v>0</v>
      </c>
      <c r="D55" s="243">
        <f>0</f>
        <v>0</v>
      </c>
      <c r="E55" s="243">
        <f>0</f>
        <v>0</v>
      </c>
      <c r="F55" s="243">
        <f>0</f>
        <v>0</v>
      </c>
      <c r="G55" s="243">
        <f>0</f>
        <v>0</v>
      </c>
      <c r="H55" s="243">
        <f>0</f>
        <v>0</v>
      </c>
      <c r="I55" s="243">
        <f>0</f>
        <v>0</v>
      </c>
      <c r="J55" s="243">
        <f>0</f>
        <v>0</v>
      </c>
      <c r="K55" s="243">
        <f>0</f>
        <v>0</v>
      </c>
      <c r="L55" s="243">
        <f>0</f>
        <v>0</v>
      </c>
      <c r="M55" s="243">
        <f>0</f>
        <v>0</v>
      </c>
      <c r="N55" s="243">
        <f>0</f>
        <v>0</v>
      </c>
      <c r="O55" s="243">
        <f>0</f>
        <v>0</v>
      </c>
      <c r="P55" s="243">
        <f>0</f>
        <v>0</v>
      </c>
      <c r="Q55" s="243">
        <f>0</f>
        <v>0</v>
      </c>
      <c r="R55" s="243">
        <f>0</f>
        <v>0</v>
      </c>
      <c r="S55" s="243">
        <f>0</f>
        <v>0</v>
      </c>
      <c r="T55" s="243">
        <f>0</f>
        <v>0</v>
      </c>
      <c r="U55" s="243">
        <f>0</f>
        <v>0</v>
      </c>
      <c r="V55" s="243">
        <f>0</f>
        <v>0</v>
      </c>
      <c r="W55" s="243">
        <f>0</f>
        <v>0</v>
      </c>
      <c r="X55" s="243">
        <f>0</f>
        <v>0</v>
      </c>
      <c r="Y55" s="243">
        <f>0</f>
        <v>0</v>
      </c>
      <c r="Z55" s="243">
        <f>0</f>
        <v>0</v>
      </c>
      <c r="AA55" s="243">
        <f>0</f>
        <v>0</v>
      </c>
      <c r="AB55" s="243">
        <f>0</f>
        <v>0</v>
      </c>
      <c r="AC55" s="243">
        <f>0</f>
        <v>0</v>
      </c>
      <c r="AD55" s="243">
        <f>0</f>
        <v>0</v>
      </c>
      <c r="AE55" s="243">
        <f>0</f>
        <v>0</v>
      </c>
      <c r="AF55" s="243">
        <f>0</f>
        <v>0</v>
      </c>
      <c r="AG55" s="243">
        <f>0</f>
        <v>0</v>
      </c>
    </row>
    <row r="56" spans="1:33" ht="24">
      <c r="A56" s="91"/>
      <c r="B56" s="247" t="s">
        <v>281</v>
      </c>
      <c r="C56" s="243">
        <f>0</f>
        <v>0</v>
      </c>
      <c r="D56" s="243">
        <f>0</f>
        <v>0</v>
      </c>
      <c r="E56" s="243">
        <f>0</f>
        <v>0</v>
      </c>
      <c r="F56" s="243">
        <f>0</f>
        <v>0</v>
      </c>
      <c r="G56" s="243">
        <f>0</f>
        <v>0</v>
      </c>
      <c r="H56" s="243">
        <f>0</f>
        <v>0</v>
      </c>
      <c r="I56" s="243">
        <f>0</f>
        <v>0</v>
      </c>
      <c r="J56" s="243">
        <f>0</f>
        <v>0</v>
      </c>
      <c r="K56" s="243">
        <f>0</f>
        <v>0</v>
      </c>
      <c r="L56" s="243">
        <f>0</f>
        <v>0</v>
      </c>
      <c r="M56" s="243">
        <f>0</f>
        <v>0</v>
      </c>
      <c r="N56" s="243">
        <f>0</f>
        <v>0</v>
      </c>
      <c r="O56" s="243">
        <f>0</f>
        <v>0</v>
      </c>
      <c r="P56" s="243">
        <f>0</f>
        <v>0</v>
      </c>
      <c r="Q56" s="243">
        <f>0</f>
        <v>0</v>
      </c>
      <c r="R56" s="243">
        <f>0</f>
        <v>0</v>
      </c>
      <c r="S56" s="243">
        <f>0</f>
        <v>0</v>
      </c>
      <c r="T56" s="243">
        <f>0</f>
        <v>0</v>
      </c>
      <c r="U56" s="243">
        <f>0</f>
        <v>0</v>
      </c>
      <c r="V56" s="243">
        <f>0</f>
        <v>0</v>
      </c>
      <c r="W56" s="243">
        <f>0</f>
        <v>0</v>
      </c>
      <c r="X56" s="243">
        <f>0</f>
        <v>0</v>
      </c>
      <c r="Y56" s="243">
        <f>0</f>
        <v>0</v>
      </c>
      <c r="Z56" s="243">
        <f>0</f>
        <v>0</v>
      </c>
      <c r="AA56" s="243">
        <f>0</f>
        <v>0</v>
      </c>
      <c r="AB56" s="243">
        <f>0</f>
        <v>0</v>
      </c>
      <c r="AC56" s="243">
        <f>0</f>
        <v>0</v>
      </c>
      <c r="AD56" s="243">
        <f>0</f>
        <v>0</v>
      </c>
      <c r="AE56" s="243">
        <f>0</f>
        <v>0</v>
      </c>
      <c r="AF56" s="243">
        <f>0</f>
        <v>0</v>
      </c>
      <c r="AG56" s="243">
        <f>0</f>
        <v>0</v>
      </c>
    </row>
    <row r="57" spans="1:33" ht="24">
      <c r="A57" s="91"/>
      <c r="B57" s="247" t="s">
        <v>282</v>
      </c>
      <c r="C57" s="243">
        <f>0</f>
        <v>0</v>
      </c>
      <c r="D57" s="243">
        <f>0</f>
        <v>0</v>
      </c>
      <c r="E57" s="243">
        <f>0</f>
        <v>0</v>
      </c>
      <c r="F57" s="243">
        <f>0</f>
        <v>0</v>
      </c>
      <c r="G57" s="243">
        <f>0</f>
        <v>0</v>
      </c>
      <c r="H57" s="243">
        <f>0</f>
        <v>0</v>
      </c>
      <c r="I57" s="243">
        <f>0</f>
        <v>0</v>
      </c>
      <c r="J57" s="243">
        <f>0</f>
        <v>0</v>
      </c>
      <c r="K57" s="243">
        <f>0</f>
        <v>0</v>
      </c>
      <c r="L57" s="243">
        <f>0</f>
        <v>0</v>
      </c>
      <c r="M57" s="243">
        <f>0</f>
        <v>0</v>
      </c>
      <c r="N57" s="243">
        <f>0</f>
        <v>0</v>
      </c>
      <c r="O57" s="243">
        <f>0</f>
        <v>0</v>
      </c>
      <c r="P57" s="243">
        <f>0</f>
        <v>0</v>
      </c>
      <c r="Q57" s="243">
        <f>0</f>
        <v>0</v>
      </c>
      <c r="R57" s="243">
        <f>0</f>
        <v>0</v>
      </c>
      <c r="S57" s="243">
        <f>0</f>
        <v>0</v>
      </c>
      <c r="T57" s="243">
        <f>0</f>
        <v>0</v>
      </c>
      <c r="U57" s="243">
        <f>0</f>
        <v>0</v>
      </c>
      <c r="V57" s="243">
        <f>0</f>
        <v>0</v>
      </c>
      <c r="W57" s="243">
        <f>0</f>
        <v>0</v>
      </c>
      <c r="X57" s="243">
        <f>0</f>
        <v>0</v>
      </c>
      <c r="Y57" s="243">
        <f>0</f>
        <v>0</v>
      </c>
      <c r="Z57" s="243">
        <f>0</f>
        <v>0</v>
      </c>
      <c r="AA57" s="243">
        <f>0</f>
        <v>0</v>
      </c>
      <c r="AB57" s="243">
        <f>0</f>
        <v>0</v>
      </c>
      <c r="AC57" s="243">
        <f>0</f>
        <v>0</v>
      </c>
      <c r="AD57" s="243">
        <f>0</f>
        <v>0</v>
      </c>
      <c r="AE57" s="243">
        <f>0</f>
        <v>0</v>
      </c>
      <c r="AF57" s="243">
        <f>0</f>
        <v>0</v>
      </c>
      <c r="AG57" s="243">
        <f>0</f>
        <v>0</v>
      </c>
    </row>
    <row r="58" spans="1:33" ht="36">
      <c r="A58" s="105"/>
      <c r="B58" s="106" t="s">
        <v>283</v>
      </c>
      <c r="C58" s="244">
        <f>0</f>
        <v>0</v>
      </c>
      <c r="D58" s="244">
        <f>0</f>
        <v>0</v>
      </c>
      <c r="E58" s="244">
        <f>0</f>
        <v>0</v>
      </c>
      <c r="F58" s="244">
        <f>0</f>
        <v>0</v>
      </c>
      <c r="G58" s="244">
        <f>0</f>
        <v>0</v>
      </c>
      <c r="H58" s="244">
        <f>0</f>
        <v>0</v>
      </c>
      <c r="I58" s="244">
        <f>0</f>
        <v>0</v>
      </c>
      <c r="J58" s="244">
        <f>0</f>
        <v>0</v>
      </c>
      <c r="K58" s="244">
        <f>0</f>
        <v>0</v>
      </c>
      <c r="L58" s="244">
        <f>0</f>
        <v>0</v>
      </c>
      <c r="M58" s="244">
        <f>0</f>
        <v>0</v>
      </c>
      <c r="N58" s="244">
        <f>0</f>
        <v>0</v>
      </c>
      <c r="O58" s="244">
        <f>0</f>
        <v>0</v>
      </c>
      <c r="P58" s="244">
        <f>0</f>
        <v>0</v>
      </c>
      <c r="Q58" s="244">
        <f>0</f>
        <v>0</v>
      </c>
      <c r="R58" s="244">
        <f>0</f>
        <v>0</v>
      </c>
      <c r="S58" s="244">
        <f>0</f>
        <v>0</v>
      </c>
      <c r="T58" s="244">
        <f>0</f>
        <v>0</v>
      </c>
      <c r="U58" s="244">
        <f>0</f>
        <v>0</v>
      </c>
      <c r="V58" s="244">
        <f>0</f>
        <v>0</v>
      </c>
      <c r="W58" s="244">
        <f>0</f>
        <v>0</v>
      </c>
      <c r="X58" s="244">
        <f>0</f>
        <v>0</v>
      </c>
      <c r="Y58" s="244">
        <f>0</f>
        <v>0</v>
      </c>
      <c r="Z58" s="244">
        <f>0</f>
        <v>0</v>
      </c>
      <c r="AA58" s="244">
        <f>0</f>
        <v>0</v>
      </c>
      <c r="AB58" s="244">
        <f>0</f>
        <v>0</v>
      </c>
      <c r="AC58" s="244">
        <f>0</f>
        <v>0</v>
      </c>
      <c r="AD58" s="244">
        <f>0</f>
        <v>0</v>
      </c>
      <c r="AE58" s="244">
        <f>0</f>
        <v>0</v>
      </c>
      <c r="AF58" s="244">
        <f>0</f>
        <v>0</v>
      </c>
      <c r="AG58" s="244">
        <f>0</f>
        <v>0</v>
      </c>
    </row>
    <row r="59" spans="1:33" ht="14.25">
      <c r="A59" s="107"/>
      <c r="B59" s="108" t="s">
        <v>67</v>
      </c>
      <c r="C59" s="242">
        <f>0.2102</f>
        <v>0.2102</v>
      </c>
      <c r="D59" s="242">
        <f>0.2189</f>
        <v>0.2189</v>
      </c>
      <c r="E59" s="242">
        <f>0.1869</f>
        <v>0.1869</v>
      </c>
      <c r="F59" s="242">
        <f>0.1511</f>
        <v>0.1511</v>
      </c>
      <c r="G59" s="242">
        <f>0.1135</f>
        <v>0.1135</v>
      </c>
      <c r="H59" s="242">
        <f>0.0718</f>
        <v>0.0718</v>
      </c>
      <c r="I59" s="242">
        <f>0.045</f>
        <v>0.045</v>
      </c>
      <c r="J59" s="242">
        <f>0.0193</f>
        <v>0.0193</v>
      </c>
      <c r="K59" s="242">
        <f>0</f>
        <v>0</v>
      </c>
      <c r="L59" s="242">
        <f>0</f>
        <v>0</v>
      </c>
      <c r="M59" s="242">
        <f>0</f>
        <v>0</v>
      </c>
      <c r="N59" s="242">
        <f>0</f>
        <v>0</v>
      </c>
      <c r="O59" s="242">
        <f>0</f>
        <v>0</v>
      </c>
      <c r="P59" s="242">
        <f>0</f>
        <v>0</v>
      </c>
      <c r="Q59" s="242">
        <f>0</f>
        <v>0</v>
      </c>
      <c r="R59" s="242">
        <f>0</f>
        <v>0</v>
      </c>
      <c r="S59" s="242">
        <f>0</f>
        <v>0</v>
      </c>
      <c r="T59" s="242">
        <f>0</f>
        <v>0</v>
      </c>
      <c r="U59" s="242">
        <f>0</f>
        <v>0</v>
      </c>
      <c r="V59" s="242">
        <f>0</f>
        <v>0</v>
      </c>
      <c r="W59" s="242">
        <f>0</f>
        <v>0</v>
      </c>
      <c r="X59" s="242">
        <f>0</f>
        <v>0</v>
      </c>
      <c r="Y59" s="242">
        <f>0</f>
        <v>0</v>
      </c>
      <c r="Z59" s="242">
        <f>0</f>
        <v>0</v>
      </c>
      <c r="AA59" s="242">
        <f>0</f>
        <v>0</v>
      </c>
      <c r="AB59" s="242">
        <f>0</f>
        <v>0</v>
      </c>
      <c r="AC59" s="242">
        <f>0</f>
        <v>0</v>
      </c>
      <c r="AD59" s="242">
        <f>0</f>
        <v>0</v>
      </c>
      <c r="AE59" s="242">
        <f>0</f>
        <v>0</v>
      </c>
      <c r="AF59" s="242">
        <f>0</f>
        <v>0</v>
      </c>
      <c r="AG59" s="242">
        <f>0</f>
        <v>0</v>
      </c>
    </row>
    <row r="60" spans="1:33" ht="24">
      <c r="A60" s="91"/>
      <c r="B60" s="92" t="s">
        <v>69</v>
      </c>
      <c r="C60" s="249">
        <f>0.2102</f>
        <v>0.2102</v>
      </c>
      <c r="D60" s="249">
        <f>0.2189</f>
        <v>0.2189</v>
      </c>
      <c r="E60" s="249">
        <f>0.1869</f>
        <v>0.1869</v>
      </c>
      <c r="F60" s="249">
        <f>0.1511</f>
        <v>0.1511</v>
      </c>
      <c r="G60" s="249">
        <f>0.1135</f>
        <v>0.1135</v>
      </c>
      <c r="H60" s="249">
        <f>0.0718</f>
        <v>0.0718</v>
      </c>
      <c r="I60" s="249">
        <f>0.045</f>
        <v>0.045</v>
      </c>
      <c r="J60" s="249">
        <f>0.0193</f>
        <v>0.0193</v>
      </c>
      <c r="K60" s="249">
        <f>0</f>
        <v>0</v>
      </c>
      <c r="L60" s="249">
        <f>0</f>
        <v>0</v>
      </c>
      <c r="M60" s="249">
        <f>0</f>
        <v>0</v>
      </c>
      <c r="N60" s="249">
        <f>0</f>
        <v>0</v>
      </c>
      <c r="O60" s="249">
        <f>0</f>
        <v>0</v>
      </c>
      <c r="P60" s="249">
        <f>0</f>
        <v>0</v>
      </c>
      <c r="Q60" s="249">
        <f>0</f>
        <v>0</v>
      </c>
      <c r="R60" s="249">
        <f>0</f>
        <v>0</v>
      </c>
      <c r="S60" s="249">
        <f>0</f>
        <v>0</v>
      </c>
      <c r="T60" s="249">
        <f>0</f>
        <v>0</v>
      </c>
      <c r="U60" s="249">
        <f>0</f>
        <v>0</v>
      </c>
      <c r="V60" s="249">
        <f>0</f>
        <v>0</v>
      </c>
      <c r="W60" s="249">
        <f>0</f>
        <v>0</v>
      </c>
      <c r="X60" s="249">
        <f>0</f>
        <v>0</v>
      </c>
      <c r="Y60" s="249">
        <f>0</f>
        <v>0</v>
      </c>
      <c r="Z60" s="249">
        <f>0</f>
        <v>0</v>
      </c>
      <c r="AA60" s="249">
        <f>0</f>
        <v>0</v>
      </c>
      <c r="AB60" s="249">
        <f>0</f>
        <v>0</v>
      </c>
      <c r="AC60" s="249">
        <f>0</f>
        <v>0</v>
      </c>
      <c r="AD60" s="249">
        <f>0</f>
        <v>0</v>
      </c>
      <c r="AE60" s="249">
        <f>0</f>
        <v>0</v>
      </c>
      <c r="AF60" s="249">
        <f>0</f>
        <v>0</v>
      </c>
      <c r="AG60" s="249">
        <f>0</f>
        <v>0</v>
      </c>
    </row>
    <row r="61" spans="1:33" ht="24">
      <c r="A61" s="91"/>
      <c r="B61" s="93" t="s">
        <v>70</v>
      </c>
      <c r="C61" s="249">
        <f>0.0387</f>
        <v>0.0387</v>
      </c>
      <c r="D61" s="249">
        <f>0.0464</f>
        <v>0.0464</v>
      </c>
      <c r="E61" s="249">
        <f>0.0495</f>
        <v>0.0495</v>
      </c>
      <c r="F61" s="249">
        <f>0.0458</f>
        <v>0.0458</v>
      </c>
      <c r="G61" s="249">
        <f>0.0457</f>
        <v>0.0457</v>
      </c>
      <c r="H61" s="249">
        <f>0.0494</f>
        <v>0.0494</v>
      </c>
      <c r="I61" s="249">
        <f>0.0319</f>
        <v>0.0319</v>
      </c>
      <c r="J61" s="249">
        <f>0.0292</f>
        <v>0.0292</v>
      </c>
      <c r="K61" s="249">
        <f>0.0213</f>
        <v>0.0213</v>
      </c>
      <c r="L61" s="249">
        <f>0</f>
        <v>0</v>
      </c>
      <c r="M61" s="249">
        <f>0</f>
        <v>0</v>
      </c>
      <c r="N61" s="249">
        <f>0</f>
        <v>0</v>
      </c>
      <c r="O61" s="249">
        <f>0</f>
        <v>0</v>
      </c>
      <c r="P61" s="249">
        <f>0</f>
        <v>0</v>
      </c>
      <c r="Q61" s="249">
        <f>0</f>
        <v>0</v>
      </c>
      <c r="R61" s="249">
        <f>0</f>
        <v>0</v>
      </c>
      <c r="S61" s="249">
        <f>0</f>
        <v>0</v>
      </c>
      <c r="T61" s="249">
        <f>0</f>
        <v>0</v>
      </c>
      <c r="U61" s="249">
        <f>0</f>
        <v>0</v>
      </c>
      <c r="V61" s="249">
        <f>0</f>
        <v>0</v>
      </c>
      <c r="W61" s="249">
        <f>0</f>
        <v>0</v>
      </c>
      <c r="X61" s="249">
        <f>0</f>
        <v>0</v>
      </c>
      <c r="Y61" s="249">
        <f>0</f>
        <v>0</v>
      </c>
      <c r="Z61" s="249">
        <f>0</f>
        <v>0</v>
      </c>
      <c r="AA61" s="249">
        <f>0</f>
        <v>0</v>
      </c>
      <c r="AB61" s="249">
        <f>0</f>
        <v>0</v>
      </c>
      <c r="AC61" s="249">
        <f>0</f>
        <v>0</v>
      </c>
      <c r="AD61" s="249">
        <f>0</f>
        <v>0</v>
      </c>
      <c r="AE61" s="249">
        <f>0</f>
        <v>0</v>
      </c>
      <c r="AF61" s="249">
        <f>0</f>
        <v>0</v>
      </c>
      <c r="AG61" s="249">
        <f>0</f>
        <v>0</v>
      </c>
    </row>
    <row r="62" spans="1:33" ht="24">
      <c r="A62" s="105"/>
      <c r="B62" s="109" t="s">
        <v>72</v>
      </c>
      <c r="C62" s="250">
        <f>0.0387</f>
        <v>0.0387</v>
      </c>
      <c r="D62" s="250">
        <f>0.0464</f>
        <v>0.0464</v>
      </c>
      <c r="E62" s="250">
        <f>0.0495</f>
        <v>0.0495</v>
      </c>
      <c r="F62" s="250">
        <f>0.0458</f>
        <v>0.0458</v>
      </c>
      <c r="G62" s="250">
        <f>0.0457</f>
        <v>0.0457</v>
      </c>
      <c r="H62" s="250">
        <f>0.0494</f>
        <v>0.0494</v>
      </c>
      <c r="I62" s="250">
        <f>0.0319</f>
        <v>0.0319</v>
      </c>
      <c r="J62" s="250">
        <f>0.0292</f>
        <v>0.0292</v>
      </c>
      <c r="K62" s="250">
        <f>0.0213</f>
        <v>0.0213</v>
      </c>
      <c r="L62" s="250">
        <f>0</f>
        <v>0</v>
      </c>
      <c r="M62" s="250">
        <f>0</f>
        <v>0</v>
      </c>
      <c r="N62" s="250">
        <f>0</f>
        <v>0</v>
      </c>
      <c r="O62" s="250">
        <f>0</f>
        <v>0</v>
      </c>
      <c r="P62" s="250">
        <f>0</f>
        <v>0</v>
      </c>
      <c r="Q62" s="250">
        <f>0</f>
        <v>0</v>
      </c>
      <c r="R62" s="250">
        <f>0</f>
        <v>0</v>
      </c>
      <c r="S62" s="250">
        <f>0</f>
        <v>0</v>
      </c>
      <c r="T62" s="250">
        <f>0</f>
        <v>0</v>
      </c>
      <c r="U62" s="250">
        <f>0</f>
        <v>0</v>
      </c>
      <c r="V62" s="250">
        <f>0</f>
        <v>0</v>
      </c>
      <c r="W62" s="250">
        <f>0</f>
        <v>0</v>
      </c>
      <c r="X62" s="250">
        <f>0</f>
        <v>0</v>
      </c>
      <c r="Y62" s="250">
        <f>0</f>
        <v>0</v>
      </c>
      <c r="Z62" s="250">
        <f>0</f>
        <v>0</v>
      </c>
      <c r="AA62" s="250">
        <f>0</f>
        <v>0</v>
      </c>
      <c r="AB62" s="250">
        <f>0</f>
        <v>0</v>
      </c>
      <c r="AC62" s="250">
        <f>0</f>
        <v>0</v>
      </c>
      <c r="AD62" s="250">
        <f>0</f>
        <v>0</v>
      </c>
      <c r="AE62" s="250">
        <f>0</f>
        <v>0</v>
      </c>
      <c r="AF62" s="250">
        <f>0</f>
        <v>0</v>
      </c>
      <c r="AG62" s="250">
        <f>0</f>
        <v>0</v>
      </c>
    </row>
    <row r="63" spans="1:33" ht="14.25">
      <c r="A63" s="107"/>
      <c r="B63" s="108" t="s">
        <v>128</v>
      </c>
      <c r="C63" s="242">
        <f>0.0467</f>
        <v>0.0467</v>
      </c>
      <c r="D63" s="242">
        <f>0.05</f>
        <v>0.05</v>
      </c>
      <c r="E63" s="242">
        <f>0.0467</f>
        <v>0.0467</v>
      </c>
      <c r="F63" s="242">
        <f>0.0458</f>
        <v>0.0458</v>
      </c>
      <c r="G63" s="242">
        <f>0.0571</f>
        <v>0.0571</v>
      </c>
      <c r="H63" s="242">
        <f>0.0565</f>
        <v>0.0565</v>
      </c>
      <c r="I63" s="242">
        <f>0.0614</f>
        <v>0.0614</v>
      </c>
      <c r="J63" s="242">
        <f>0.0639</f>
        <v>0.0639</v>
      </c>
      <c r="K63" s="242">
        <f>0.0517</f>
        <v>0.0517</v>
      </c>
      <c r="L63" s="242">
        <f>0</f>
        <v>0</v>
      </c>
      <c r="M63" s="242">
        <f>0</f>
        <v>0</v>
      </c>
      <c r="N63" s="242">
        <f>0</f>
        <v>0</v>
      </c>
      <c r="O63" s="242">
        <f>0</f>
        <v>0</v>
      </c>
      <c r="P63" s="242">
        <f>0</f>
        <v>0</v>
      </c>
      <c r="Q63" s="242">
        <f>0</f>
        <v>0</v>
      </c>
      <c r="R63" s="242">
        <f>0</f>
        <v>0</v>
      </c>
      <c r="S63" s="242">
        <f>0</f>
        <v>0</v>
      </c>
      <c r="T63" s="242">
        <f>0</f>
        <v>0</v>
      </c>
      <c r="U63" s="242">
        <f>0</f>
        <v>0</v>
      </c>
      <c r="V63" s="242">
        <f>0</f>
        <v>0</v>
      </c>
      <c r="W63" s="242">
        <f>0</f>
        <v>0</v>
      </c>
      <c r="X63" s="242">
        <f>0</f>
        <v>0</v>
      </c>
      <c r="Y63" s="242">
        <f>0</f>
        <v>0</v>
      </c>
      <c r="Z63" s="242">
        <f>0</f>
        <v>0</v>
      </c>
      <c r="AA63" s="242">
        <f>0</f>
        <v>0</v>
      </c>
      <c r="AB63" s="242">
        <f>0</f>
        <v>0</v>
      </c>
      <c r="AC63" s="242">
        <f>0</f>
        <v>0</v>
      </c>
      <c r="AD63" s="242">
        <f>0</f>
        <v>0</v>
      </c>
      <c r="AE63" s="242">
        <f>0</f>
        <v>0</v>
      </c>
      <c r="AF63" s="242">
        <f>0</f>
        <v>0</v>
      </c>
      <c r="AG63" s="242">
        <f>0</f>
        <v>0</v>
      </c>
    </row>
    <row r="64" spans="1:33" ht="14.25">
      <c r="A64" s="91"/>
      <c r="B64" s="92" t="s">
        <v>52</v>
      </c>
      <c r="C64" s="249">
        <f>0.1085</f>
        <v>0.1085</v>
      </c>
      <c r="D64" s="249">
        <f>0.0733</f>
        <v>0.0733</v>
      </c>
      <c r="E64" s="249">
        <f>0.0515</f>
        <v>0.0515</v>
      </c>
      <c r="F64" s="249">
        <f>0.0478</f>
        <v>0.0478</v>
      </c>
      <c r="G64" s="249">
        <f>0.0475</f>
        <v>0.0475</v>
      </c>
      <c r="H64" s="249">
        <f>0.0499</f>
        <v>0.0499</v>
      </c>
      <c r="I64" s="249">
        <f>0.0531</f>
        <v>0.0531</v>
      </c>
      <c r="J64" s="249">
        <f>0.0583</f>
        <v>0.0583</v>
      </c>
      <c r="K64" s="249">
        <f>0.0606</f>
        <v>0.0606</v>
      </c>
      <c r="L64" s="249">
        <f>0</f>
        <v>0</v>
      </c>
      <c r="M64" s="249">
        <f>0</f>
        <v>0</v>
      </c>
      <c r="N64" s="249">
        <f>0</f>
        <v>0</v>
      </c>
      <c r="O64" s="249">
        <f>0</f>
        <v>0</v>
      </c>
      <c r="P64" s="249">
        <f>0</f>
        <v>0</v>
      </c>
      <c r="Q64" s="249">
        <f>0</f>
        <v>0</v>
      </c>
      <c r="R64" s="249">
        <f>0</f>
        <v>0</v>
      </c>
      <c r="S64" s="249">
        <f>0</f>
        <v>0</v>
      </c>
      <c r="T64" s="249">
        <f>0</f>
        <v>0</v>
      </c>
      <c r="U64" s="249">
        <f>0</f>
        <v>0</v>
      </c>
      <c r="V64" s="249">
        <f>0</f>
        <v>0</v>
      </c>
      <c r="W64" s="249">
        <f>0</f>
        <v>0</v>
      </c>
      <c r="X64" s="249">
        <f>0</f>
        <v>0</v>
      </c>
      <c r="Y64" s="249">
        <f>0</f>
        <v>0</v>
      </c>
      <c r="Z64" s="249">
        <f>0</f>
        <v>0</v>
      </c>
      <c r="AA64" s="249">
        <f>0</f>
        <v>0</v>
      </c>
      <c r="AB64" s="249">
        <f>0</f>
        <v>0</v>
      </c>
      <c r="AC64" s="249">
        <f>0</f>
        <v>0</v>
      </c>
      <c r="AD64" s="249">
        <f>0</f>
        <v>0</v>
      </c>
      <c r="AE64" s="249">
        <f>0</f>
        <v>0</v>
      </c>
      <c r="AF64" s="249">
        <f>0</f>
        <v>0</v>
      </c>
      <c r="AG64" s="249">
        <f>0</f>
        <v>0</v>
      </c>
    </row>
    <row r="65" spans="1:33" ht="24">
      <c r="A65" s="91"/>
      <c r="B65" s="92" t="s">
        <v>284</v>
      </c>
      <c r="C65" s="249">
        <f>0.1162</f>
        <v>0.1162</v>
      </c>
      <c r="D65" s="249">
        <f>0.081</f>
        <v>0.081</v>
      </c>
      <c r="E65" s="249">
        <f>0.0591</f>
        <v>0.0591</v>
      </c>
      <c r="F65" s="249">
        <f>0.0478</f>
        <v>0.0478</v>
      </c>
      <c r="G65" s="249">
        <f>0.0475</f>
        <v>0.0475</v>
      </c>
      <c r="H65" s="249">
        <f>0.0499</f>
        <v>0.0499</v>
      </c>
      <c r="I65" s="249">
        <f>0.0531</f>
        <v>0.0531</v>
      </c>
      <c r="J65" s="249">
        <f>0.0583</f>
        <v>0.0583</v>
      </c>
      <c r="K65" s="249">
        <f>0.0606</f>
        <v>0.0606</v>
      </c>
      <c r="L65" s="249">
        <f>0</f>
        <v>0</v>
      </c>
      <c r="M65" s="249">
        <f>0</f>
        <v>0</v>
      </c>
      <c r="N65" s="249">
        <f>0</f>
        <v>0</v>
      </c>
      <c r="O65" s="249">
        <f>0</f>
        <v>0</v>
      </c>
      <c r="P65" s="249">
        <f>0</f>
        <v>0</v>
      </c>
      <c r="Q65" s="249">
        <f>0</f>
        <v>0</v>
      </c>
      <c r="R65" s="249">
        <f>0</f>
        <v>0</v>
      </c>
      <c r="S65" s="249">
        <f>0</f>
        <v>0</v>
      </c>
      <c r="T65" s="249">
        <f>0</f>
        <v>0</v>
      </c>
      <c r="U65" s="249">
        <f>0</f>
        <v>0</v>
      </c>
      <c r="V65" s="249">
        <f>0</f>
        <v>0</v>
      </c>
      <c r="W65" s="249">
        <f>0</f>
        <v>0</v>
      </c>
      <c r="X65" s="249">
        <f>0</f>
        <v>0</v>
      </c>
      <c r="Y65" s="249">
        <f>0</f>
        <v>0</v>
      </c>
      <c r="Z65" s="249">
        <f>0</f>
        <v>0</v>
      </c>
      <c r="AA65" s="249">
        <f>0</f>
        <v>0</v>
      </c>
      <c r="AB65" s="249">
        <f>0</f>
        <v>0</v>
      </c>
      <c r="AC65" s="249">
        <f>0</f>
        <v>0</v>
      </c>
      <c r="AD65" s="249">
        <f>0</f>
        <v>0</v>
      </c>
      <c r="AE65" s="249">
        <f>0</f>
        <v>0</v>
      </c>
      <c r="AF65" s="249">
        <f>0</f>
        <v>0</v>
      </c>
      <c r="AG65" s="249">
        <f>0</f>
        <v>0</v>
      </c>
    </row>
    <row r="66" spans="1:33" ht="24">
      <c r="A66" s="91"/>
      <c r="B66" s="92" t="s">
        <v>285</v>
      </c>
      <c r="C66" s="249">
        <f>0.0387</f>
        <v>0.0387</v>
      </c>
      <c r="D66" s="249">
        <f>0.0464</f>
        <v>0.0464</v>
      </c>
      <c r="E66" s="249">
        <f>0.0495</f>
        <v>0.0495</v>
      </c>
      <c r="F66" s="249">
        <f>0.0458</f>
        <v>0.0458</v>
      </c>
      <c r="G66" s="249">
        <f>0.0457</f>
        <v>0.0457</v>
      </c>
      <c r="H66" s="249">
        <f>0.0494</f>
        <v>0.0494</v>
      </c>
      <c r="I66" s="249">
        <f>0.0319</f>
        <v>0.0319</v>
      </c>
      <c r="J66" s="249">
        <f>0.0292</f>
        <v>0.0292</v>
      </c>
      <c r="K66" s="249">
        <f>0.0213</f>
        <v>0.0213</v>
      </c>
      <c r="L66" s="249">
        <f>0</f>
        <v>0</v>
      </c>
      <c r="M66" s="249">
        <f>0</f>
        <v>0</v>
      </c>
      <c r="N66" s="249">
        <f>0</f>
        <v>0</v>
      </c>
      <c r="O66" s="249">
        <f>0</f>
        <v>0</v>
      </c>
      <c r="P66" s="249">
        <f>0</f>
        <v>0</v>
      </c>
      <c r="Q66" s="249">
        <f>0</f>
        <v>0</v>
      </c>
      <c r="R66" s="249">
        <f>0</f>
        <v>0</v>
      </c>
      <c r="S66" s="249">
        <f>0</f>
        <v>0</v>
      </c>
      <c r="T66" s="249">
        <f>0</f>
        <v>0</v>
      </c>
      <c r="U66" s="249">
        <f>0</f>
        <v>0</v>
      </c>
      <c r="V66" s="249">
        <f>0</f>
        <v>0</v>
      </c>
      <c r="W66" s="249">
        <f>0</f>
        <v>0</v>
      </c>
      <c r="X66" s="249">
        <f>0</f>
        <v>0</v>
      </c>
      <c r="Y66" s="249">
        <f>0</f>
        <v>0</v>
      </c>
      <c r="Z66" s="249">
        <f>0</f>
        <v>0</v>
      </c>
      <c r="AA66" s="249">
        <f>0</f>
        <v>0</v>
      </c>
      <c r="AB66" s="249">
        <f>0</f>
        <v>0</v>
      </c>
      <c r="AC66" s="249">
        <f>0</f>
        <v>0</v>
      </c>
      <c r="AD66" s="249">
        <f>0</f>
        <v>0</v>
      </c>
      <c r="AE66" s="249">
        <f>0</f>
        <v>0</v>
      </c>
      <c r="AF66" s="249">
        <f>0</f>
        <v>0</v>
      </c>
      <c r="AG66" s="249">
        <f>0</f>
        <v>0</v>
      </c>
    </row>
    <row r="67" spans="1:33" ht="24">
      <c r="A67" s="90"/>
      <c r="B67" s="58" t="s">
        <v>286</v>
      </c>
      <c r="C67" s="251" t="str">
        <f>+IF(C66&lt;=C64,"Spełnia","Nie spełnia")</f>
        <v>Spełnia</v>
      </c>
      <c r="D67" s="251" t="str">
        <f aca="true" t="shared" si="1" ref="D67:AG67">+IF(D66&lt;=D64,"Spełnia","Nie spełnia")</f>
        <v>Spełnia</v>
      </c>
      <c r="E67" s="251" t="str">
        <f t="shared" si="1"/>
        <v>Spełnia</v>
      </c>
      <c r="F67" s="251" t="str">
        <f t="shared" si="1"/>
        <v>Spełnia</v>
      </c>
      <c r="G67" s="251" t="str">
        <f t="shared" si="1"/>
        <v>Spełnia</v>
      </c>
      <c r="H67" s="251" t="str">
        <f t="shared" si="1"/>
        <v>Spełnia</v>
      </c>
      <c r="I67" s="251" t="str">
        <f t="shared" si="1"/>
        <v>Spełnia</v>
      </c>
      <c r="J67" s="251" t="str">
        <f t="shared" si="1"/>
        <v>Spełnia</v>
      </c>
      <c r="K67" s="251" t="str">
        <f t="shared" si="1"/>
        <v>Spełnia</v>
      </c>
      <c r="L67" s="251" t="str">
        <f t="shared" si="1"/>
        <v>Spełnia</v>
      </c>
      <c r="M67" s="251" t="str">
        <f t="shared" si="1"/>
        <v>Spełnia</v>
      </c>
      <c r="N67" s="251" t="str">
        <f t="shared" si="1"/>
        <v>Spełnia</v>
      </c>
      <c r="O67" s="251" t="str">
        <f t="shared" si="1"/>
        <v>Spełnia</v>
      </c>
      <c r="P67" s="251" t="str">
        <f t="shared" si="1"/>
        <v>Spełnia</v>
      </c>
      <c r="Q67" s="251" t="str">
        <f t="shared" si="1"/>
        <v>Spełnia</v>
      </c>
      <c r="R67" s="251" t="str">
        <f t="shared" si="1"/>
        <v>Spełnia</v>
      </c>
      <c r="S67" s="251" t="str">
        <f t="shared" si="1"/>
        <v>Spełnia</v>
      </c>
      <c r="T67" s="251" t="str">
        <f t="shared" si="1"/>
        <v>Spełnia</v>
      </c>
      <c r="U67" s="251" t="str">
        <f t="shared" si="1"/>
        <v>Spełnia</v>
      </c>
      <c r="V67" s="251" t="str">
        <f t="shared" si="1"/>
        <v>Spełnia</v>
      </c>
      <c r="W67" s="251" t="str">
        <f t="shared" si="1"/>
        <v>Spełnia</v>
      </c>
      <c r="X67" s="251" t="str">
        <f t="shared" si="1"/>
        <v>Spełnia</v>
      </c>
      <c r="Y67" s="251" t="str">
        <f t="shared" si="1"/>
        <v>Spełnia</v>
      </c>
      <c r="Z67" s="251" t="str">
        <f t="shared" si="1"/>
        <v>Spełnia</v>
      </c>
      <c r="AA67" s="251" t="str">
        <f t="shared" si="1"/>
        <v>Spełnia</v>
      </c>
      <c r="AB67" s="251" t="str">
        <f t="shared" si="1"/>
        <v>Spełnia</v>
      </c>
      <c r="AC67" s="251" t="str">
        <f t="shared" si="1"/>
        <v>Spełnia</v>
      </c>
      <c r="AD67" s="251" t="str">
        <f t="shared" si="1"/>
        <v>Spełnia</v>
      </c>
      <c r="AE67" s="251" t="str">
        <f t="shared" si="1"/>
        <v>Spełnia</v>
      </c>
      <c r="AF67" s="251" t="str">
        <f t="shared" si="1"/>
        <v>Spełnia</v>
      </c>
      <c r="AG67" s="251" t="str">
        <f t="shared" si="1"/>
        <v>Spełnia</v>
      </c>
    </row>
    <row r="68" spans="1:33" ht="24">
      <c r="A68" s="90"/>
      <c r="B68" s="58" t="s">
        <v>287</v>
      </c>
      <c r="C68" s="251" t="str">
        <f>+IF(C66&lt;=C65,"Spełnia","Nie spełnia")</f>
        <v>Spełnia</v>
      </c>
      <c r="D68" s="251" t="str">
        <f aca="true" t="shared" si="2" ref="D68:AG68">+IF(D66&lt;=D65,"Spełnia","Nie spełnia")</f>
        <v>Spełnia</v>
      </c>
      <c r="E68" s="251" t="str">
        <f t="shared" si="2"/>
        <v>Spełnia</v>
      </c>
      <c r="F68" s="251" t="str">
        <f t="shared" si="2"/>
        <v>Spełnia</v>
      </c>
      <c r="G68" s="251" t="str">
        <f t="shared" si="2"/>
        <v>Spełnia</v>
      </c>
      <c r="H68" s="251" t="str">
        <f t="shared" si="2"/>
        <v>Spełnia</v>
      </c>
      <c r="I68" s="251" t="str">
        <f t="shared" si="2"/>
        <v>Spełnia</v>
      </c>
      <c r="J68" s="251" t="str">
        <f t="shared" si="2"/>
        <v>Spełnia</v>
      </c>
      <c r="K68" s="251" t="str">
        <f t="shared" si="2"/>
        <v>Spełnia</v>
      </c>
      <c r="L68" s="251" t="str">
        <f t="shared" si="2"/>
        <v>Spełnia</v>
      </c>
      <c r="M68" s="251" t="str">
        <f t="shared" si="2"/>
        <v>Spełnia</v>
      </c>
      <c r="N68" s="251" t="str">
        <f t="shared" si="2"/>
        <v>Spełnia</v>
      </c>
      <c r="O68" s="251" t="str">
        <f t="shared" si="2"/>
        <v>Spełnia</v>
      </c>
      <c r="P68" s="251" t="str">
        <f t="shared" si="2"/>
        <v>Spełnia</v>
      </c>
      <c r="Q68" s="251" t="str">
        <f t="shared" si="2"/>
        <v>Spełnia</v>
      </c>
      <c r="R68" s="251" t="str">
        <f t="shared" si="2"/>
        <v>Spełnia</v>
      </c>
      <c r="S68" s="251" t="str">
        <f t="shared" si="2"/>
        <v>Spełnia</v>
      </c>
      <c r="T68" s="251" t="str">
        <f t="shared" si="2"/>
        <v>Spełnia</v>
      </c>
      <c r="U68" s="251" t="str">
        <f t="shared" si="2"/>
        <v>Spełnia</v>
      </c>
      <c r="V68" s="251" t="str">
        <f t="shared" si="2"/>
        <v>Spełnia</v>
      </c>
      <c r="W68" s="251" t="str">
        <f t="shared" si="2"/>
        <v>Spełnia</v>
      </c>
      <c r="X68" s="251" t="str">
        <f t="shared" si="2"/>
        <v>Spełnia</v>
      </c>
      <c r="Y68" s="251" t="str">
        <f t="shared" si="2"/>
        <v>Spełnia</v>
      </c>
      <c r="Z68" s="251" t="str">
        <f t="shared" si="2"/>
        <v>Spełnia</v>
      </c>
      <c r="AA68" s="251" t="str">
        <f t="shared" si="2"/>
        <v>Spełnia</v>
      </c>
      <c r="AB68" s="251" t="str">
        <f t="shared" si="2"/>
        <v>Spełnia</v>
      </c>
      <c r="AC68" s="251" t="str">
        <f t="shared" si="2"/>
        <v>Spełnia</v>
      </c>
      <c r="AD68" s="251" t="str">
        <f t="shared" si="2"/>
        <v>Spełnia</v>
      </c>
      <c r="AE68" s="251" t="str">
        <f t="shared" si="2"/>
        <v>Spełnia</v>
      </c>
      <c r="AF68" s="251" t="str">
        <f t="shared" si="2"/>
        <v>Spełnia</v>
      </c>
      <c r="AG68" s="251" t="str">
        <f t="shared" si="2"/>
        <v>Spełnia</v>
      </c>
    </row>
    <row r="69" spans="1:33" ht="25.5">
      <c r="A69" s="94"/>
      <c r="B69" s="95" t="s">
        <v>288</v>
      </c>
      <c r="C69" s="249">
        <f>0.0387</f>
        <v>0.0387</v>
      </c>
      <c r="D69" s="249">
        <f>0.0464</f>
        <v>0.0464</v>
      </c>
      <c r="E69" s="249">
        <f>0.0495</f>
        <v>0.0495</v>
      </c>
      <c r="F69" s="249">
        <f>0.0458</f>
        <v>0.0458</v>
      </c>
      <c r="G69" s="249">
        <f>0.0457</f>
        <v>0.0457</v>
      </c>
      <c r="H69" s="249">
        <f>0.0494</f>
        <v>0.0494</v>
      </c>
      <c r="I69" s="249">
        <f>0.0319</f>
        <v>0.0319</v>
      </c>
      <c r="J69" s="249">
        <f>0.0292</f>
        <v>0.0292</v>
      </c>
      <c r="K69" s="249">
        <f>0.0213</f>
        <v>0.0213</v>
      </c>
      <c r="L69" s="249">
        <f>0</f>
        <v>0</v>
      </c>
      <c r="M69" s="249">
        <f>0</f>
        <v>0</v>
      </c>
      <c r="N69" s="249">
        <f>0</f>
        <v>0</v>
      </c>
      <c r="O69" s="249">
        <f>0</f>
        <v>0</v>
      </c>
      <c r="P69" s="249">
        <f>0</f>
        <v>0</v>
      </c>
      <c r="Q69" s="249">
        <f>0</f>
        <v>0</v>
      </c>
      <c r="R69" s="249">
        <f>0</f>
        <v>0</v>
      </c>
      <c r="S69" s="249">
        <f>0</f>
        <v>0</v>
      </c>
      <c r="T69" s="249">
        <f>0</f>
        <v>0</v>
      </c>
      <c r="U69" s="249">
        <f>0</f>
        <v>0</v>
      </c>
      <c r="V69" s="249">
        <f>0</f>
        <v>0</v>
      </c>
      <c r="W69" s="249">
        <f>0</f>
        <v>0</v>
      </c>
      <c r="X69" s="249">
        <f>0</f>
        <v>0</v>
      </c>
      <c r="Y69" s="249">
        <f>0</f>
        <v>0</v>
      </c>
      <c r="Z69" s="249">
        <f>0</f>
        <v>0</v>
      </c>
      <c r="AA69" s="249">
        <f>0</f>
        <v>0</v>
      </c>
      <c r="AB69" s="249">
        <f>0</f>
        <v>0</v>
      </c>
      <c r="AC69" s="249">
        <f>0</f>
        <v>0</v>
      </c>
      <c r="AD69" s="249">
        <f>0</f>
        <v>0</v>
      </c>
      <c r="AE69" s="249">
        <f>0</f>
        <v>0</v>
      </c>
      <c r="AF69" s="249">
        <f>0</f>
        <v>0</v>
      </c>
      <c r="AG69" s="249">
        <f>0</f>
        <v>0</v>
      </c>
    </row>
    <row r="70" spans="1:33" ht="25.5">
      <c r="A70" s="96"/>
      <c r="B70" s="252" t="s">
        <v>289</v>
      </c>
      <c r="C70" s="251" t="str">
        <f>+IF(C69&lt;=C64,"Spełnia","Nie spełnia")</f>
        <v>Spełnia</v>
      </c>
      <c r="D70" s="251" t="str">
        <f aca="true" t="shared" si="3" ref="D70:AG70">+IF(D69&lt;=D64,"Spełnia","Nie spełnia")</f>
        <v>Spełnia</v>
      </c>
      <c r="E70" s="251" t="str">
        <f t="shared" si="3"/>
        <v>Spełnia</v>
      </c>
      <c r="F70" s="251" t="str">
        <f t="shared" si="3"/>
        <v>Spełnia</v>
      </c>
      <c r="G70" s="251" t="str">
        <f t="shared" si="3"/>
        <v>Spełnia</v>
      </c>
      <c r="H70" s="251" t="str">
        <f t="shared" si="3"/>
        <v>Spełnia</v>
      </c>
      <c r="I70" s="251" t="str">
        <f t="shared" si="3"/>
        <v>Spełnia</v>
      </c>
      <c r="J70" s="251" t="str">
        <f t="shared" si="3"/>
        <v>Spełnia</v>
      </c>
      <c r="K70" s="251" t="str">
        <f t="shared" si="3"/>
        <v>Spełnia</v>
      </c>
      <c r="L70" s="251" t="str">
        <f t="shared" si="3"/>
        <v>Spełnia</v>
      </c>
      <c r="M70" s="251" t="str">
        <f t="shared" si="3"/>
        <v>Spełnia</v>
      </c>
      <c r="N70" s="251" t="str">
        <f t="shared" si="3"/>
        <v>Spełnia</v>
      </c>
      <c r="O70" s="251" t="str">
        <f t="shared" si="3"/>
        <v>Spełnia</v>
      </c>
      <c r="P70" s="251" t="str">
        <f t="shared" si="3"/>
        <v>Spełnia</v>
      </c>
      <c r="Q70" s="251" t="str">
        <f t="shared" si="3"/>
        <v>Spełnia</v>
      </c>
      <c r="R70" s="251" t="str">
        <f t="shared" si="3"/>
        <v>Spełnia</v>
      </c>
      <c r="S70" s="251" t="str">
        <f t="shared" si="3"/>
        <v>Spełnia</v>
      </c>
      <c r="T70" s="251" t="str">
        <f t="shared" si="3"/>
        <v>Spełnia</v>
      </c>
      <c r="U70" s="251" t="str">
        <f t="shared" si="3"/>
        <v>Spełnia</v>
      </c>
      <c r="V70" s="251" t="str">
        <f t="shared" si="3"/>
        <v>Spełnia</v>
      </c>
      <c r="W70" s="251" t="str">
        <f t="shared" si="3"/>
        <v>Spełnia</v>
      </c>
      <c r="X70" s="251" t="str">
        <f t="shared" si="3"/>
        <v>Spełnia</v>
      </c>
      <c r="Y70" s="251" t="str">
        <f t="shared" si="3"/>
        <v>Spełnia</v>
      </c>
      <c r="Z70" s="251" t="str">
        <f t="shared" si="3"/>
        <v>Spełnia</v>
      </c>
      <c r="AA70" s="251" t="str">
        <f t="shared" si="3"/>
        <v>Spełnia</v>
      </c>
      <c r="AB70" s="251" t="str">
        <f t="shared" si="3"/>
        <v>Spełnia</v>
      </c>
      <c r="AC70" s="251" t="str">
        <f t="shared" si="3"/>
        <v>Spełnia</v>
      </c>
      <c r="AD70" s="251" t="str">
        <f t="shared" si="3"/>
        <v>Spełnia</v>
      </c>
      <c r="AE70" s="251" t="str">
        <f t="shared" si="3"/>
        <v>Spełnia</v>
      </c>
      <c r="AF70" s="251" t="str">
        <f t="shared" si="3"/>
        <v>Spełnia</v>
      </c>
      <c r="AG70" s="251" t="str">
        <f t="shared" si="3"/>
        <v>Spełnia</v>
      </c>
    </row>
    <row r="71" spans="1:33" ht="25.5">
      <c r="A71" s="110"/>
      <c r="B71" s="111" t="s">
        <v>290</v>
      </c>
      <c r="C71" s="253" t="str">
        <f>+IF(C69&lt;=C65,"Spełnia","Nie spełnia")</f>
        <v>Spełnia</v>
      </c>
      <c r="D71" s="253" t="str">
        <f aca="true" t="shared" si="4" ref="D71:AG71">+IF(D69&lt;=D65,"Spełnia","Nie spełnia")</f>
        <v>Spełnia</v>
      </c>
      <c r="E71" s="253" t="str">
        <f t="shared" si="4"/>
        <v>Spełnia</v>
      </c>
      <c r="F71" s="253" t="str">
        <f t="shared" si="4"/>
        <v>Spełnia</v>
      </c>
      <c r="G71" s="253" t="str">
        <f t="shared" si="4"/>
        <v>Spełnia</v>
      </c>
      <c r="H71" s="253" t="str">
        <f t="shared" si="4"/>
        <v>Spełnia</v>
      </c>
      <c r="I71" s="253" t="str">
        <f t="shared" si="4"/>
        <v>Spełnia</v>
      </c>
      <c r="J71" s="253" t="str">
        <f t="shared" si="4"/>
        <v>Spełnia</v>
      </c>
      <c r="K71" s="253" t="str">
        <f t="shared" si="4"/>
        <v>Spełnia</v>
      </c>
      <c r="L71" s="253" t="str">
        <f t="shared" si="4"/>
        <v>Spełnia</v>
      </c>
      <c r="M71" s="253" t="str">
        <f t="shared" si="4"/>
        <v>Spełnia</v>
      </c>
      <c r="N71" s="253" t="str">
        <f t="shared" si="4"/>
        <v>Spełnia</v>
      </c>
      <c r="O71" s="253" t="str">
        <f t="shared" si="4"/>
        <v>Spełnia</v>
      </c>
      <c r="P71" s="253" t="str">
        <f t="shared" si="4"/>
        <v>Spełnia</v>
      </c>
      <c r="Q71" s="253" t="str">
        <f t="shared" si="4"/>
        <v>Spełnia</v>
      </c>
      <c r="R71" s="253" t="str">
        <f t="shared" si="4"/>
        <v>Spełnia</v>
      </c>
      <c r="S71" s="253" t="str">
        <f t="shared" si="4"/>
        <v>Spełnia</v>
      </c>
      <c r="T71" s="253" t="str">
        <f t="shared" si="4"/>
        <v>Spełnia</v>
      </c>
      <c r="U71" s="253" t="str">
        <f t="shared" si="4"/>
        <v>Spełnia</v>
      </c>
      <c r="V71" s="253" t="str">
        <f t="shared" si="4"/>
        <v>Spełnia</v>
      </c>
      <c r="W71" s="253" t="str">
        <f t="shared" si="4"/>
        <v>Spełnia</v>
      </c>
      <c r="X71" s="253" t="str">
        <f t="shared" si="4"/>
        <v>Spełnia</v>
      </c>
      <c r="Y71" s="253" t="str">
        <f t="shared" si="4"/>
        <v>Spełnia</v>
      </c>
      <c r="Z71" s="253" t="str">
        <f t="shared" si="4"/>
        <v>Spełnia</v>
      </c>
      <c r="AA71" s="253" t="str">
        <f t="shared" si="4"/>
        <v>Spełnia</v>
      </c>
      <c r="AB71" s="253" t="str">
        <f t="shared" si="4"/>
        <v>Spełnia</v>
      </c>
      <c r="AC71" s="253" t="str">
        <f t="shared" si="4"/>
        <v>Spełnia</v>
      </c>
      <c r="AD71" s="253" t="str">
        <f t="shared" si="4"/>
        <v>Spełnia</v>
      </c>
      <c r="AE71" s="253" t="str">
        <f t="shared" si="4"/>
        <v>Spełnia</v>
      </c>
      <c r="AF71" s="253" t="str">
        <f t="shared" si="4"/>
        <v>Spełnia</v>
      </c>
      <c r="AG71" s="253" t="str">
        <f t="shared" si="4"/>
        <v>Spełnia</v>
      </c>
    </row>
    <row r="72" spans="1:33" ht="14.25">
      <c r="A72" s="112"/>
      <c r="B72" s="113" t="s">
        <v>57</v>
      </c>
      <c r="C72" s="239">
        <f>22273007</f>
        <v>22273007</v>
      </c>
      <c r="D72" s="239">
        <f>23071000</f>
        <v>23071000</v>
      </c>
      <c r="E72" s="239">
        <f>23547000</f>
        <v>23547000</v>
      </c>
      <c r="F72" s="239">
        <f>24018000</f>
        <v>24018000</v>
      </c>
      <c r="G72" s="239">
        <f>24500000</f>
        <v>24500000</v>
      </c>
      <c r="H72" s="239">
        <f>24800000</f>
        <v>24800000</v>
      </c>
      <c r="I72" s="239">
        <f>25100000</f>
        <v>25100000</v>
      </c>
      <c r="J72" s="239">
        <f>25360000</f>
        <v>25360000</v>
      </c>
      <c r="K72" s="239">
        <f>25360000</f>
        <v>25360000</v>
      </c>
      <c r="L72" s="239">
        <f>0</f>
        <v>0</v>
      </c>
      <c r="M72" s="239">
        <f>0</f>
        <v>0</v>
      </c>
      <c r="N72" s="239">
        <f>0</f>
        <v>0</v>
      </c>
      <c r="O72" s="239">
        <f>0</f>
        <v>0</v>
      </c>
      <c r="P72" s="239">
        <f>0</f>
        <v>0</v>
      </c>
      <c r="Q72" s="239">
        <f>0</f>
        <v>0</v>
      </c>
      <c r="R72" s="239">
        <f>0</f>
        <v>0</v>
      </c>
      <c r="S72" s="239">
        <f>0</f>
        <v>0</v>
      </c>
      <c r="T72" s="239">
        <f>0</f>
        <v>0</v>
      </c>
      <c r="U72" s="239">
        <f>0</f>
        <v>0</v>
      </c>
      <c r="V72" s="239">
        <f>0</f>
        <v>0</v>
      </c>
      <c r="W72" s="239">
        <f>0</f>
        <v>0</v>
      </c>
      <c r="X72" s="239">
        <f>0</f>
        <v>0</v>
      </c>
      <c r="Y72" s="239">
        <f>0</f>
        <v>0</v>
      </c>
      <c r="Z72" s="239">
        <f>0</f>
        <v>0</v>
      </c>
      <c r="AA72" s="239">
        <f>0</f>
        <v>0</v>
      </c>
      <c r="AB72" s="239">
        <f>0</f>
        <v>0</v>
      </c>
      <c r="AC72" s="239">
        <f>0</f>
        <v>0</v>
      </c>
      <c r="AD72" s="239">
        <f>0</f>
        <v>0</v>
      </c>
      <c r="AE72" s="239">
        <f>0</f>
        <v>0</v>
      </c>
      <c r="AF72" s="239">
        <f>0</f>
        <v>0</v>
      </c>
      <c r="AG72" s="239">
        <f>0</f>
        <v>0</v>
      </c>
    </row>
    <row r="73" spans="1:33" ht="14.25">
      <c r="A73" s="96"/>
      <c r="B73" s="97" t="s">
        <v>291</v>
      </c>
      <c r="C73" s="243">
        <f>21485526</f>
        <v>21485526</v>
      </c>
      <c r="D73" s="243">
        <f>21885610</f>
        <v>21885610</v>
      </c>
      <c r="E73" s="243">
        <f>22447000</f>
        <v>22447000</v>
      </c>
      <c r="F73" s="243">
        <f>22918000</f>
        <v>22918000</v>
      </c>
      <c r="G73" s="243">
        <f>23100000</f>
        <v>23100000</v>
      </c>
      <c r="H73" s="243">
        <f>23400000</f>
        <v>23400000</v>
      </c>
      <c r="I73" s="243">
        <f>23560000</f>
        <v>23560000</v>
      </c>
      <c r="J73" s="243">
        <f>23740000</f>
        <v>23740000</v>
      </c>
      <c r="K73" s="243">
        <f>24050000</f>
        <v>24050000</v>
      </c>
      <c r="L73" s="243">
        <f>0</f>
        <v>0</v>
      </c>
      <c r="M73" s="243">
        <f>0</f>
        <v>0</v>
      </c>
      <c r="N73" s="243">
        <f>0</f>
        <v>0</v>
      </c>
      <c r="O73" s="243">
        <f>0</f>
        <v>0</v>
      </c>
      <c r="P73" s="243">
        <f>0</f>
        <v>0</v>
      </c>
      <c r="Q73" s="243">
        <f>0</f>
        <v>0</v>
      </c>
      <c r="R73" s="243">
        <f>0</f>
        <v>0</v>
      </c>
      <c r="S73" s="243">
        <f>0</f>
        <v>0</v>
      </c>
      <c r="T73" s="243">
        <f>0</f>
        <v>0</v>
      </c>
      <c r="U73" s="243">
        <f>0</f>
        <v>0</v>
      </c>
      <c r="V73" s="243">
        <f>0</f>
        <v>0</v>
      </c>
      <c r="W73" s="243">
        <f>0</f>
        <v>0</v>
      </c>
      <c r="X73" s="243">
        <f>0</f>
        <v>0</v>
      </c>
      <c r="Y73" s="243">
        <f>0</f>
        <v>0</v>
      </c>
      <c r="Z73" s="243">
        <f>0</f>
        <v>0</v>
      </c>
      <c r="AA73" s="243">
        <f>0</f>
        <v>0</v>
      </c>
      <c r="AB73" s="243">
        <f>0</f>
        <v>0</v>
      </c>
      <c r="AC73" s="243">
        <f>0</f>
        <v>0</v>
      </c>
      <c r="AD73" s="243">
        <f>0</f>
        <v>0</v>
      </c>
      <c r="AE73" s="243">
        <f>0</f>
        <v>0</v>
      </c>
      <c r="AF73" s="243">
        <f>0</f>
        <v>0</v>
      </c>
      <c r="AG73" s="243">
        <f>0</f>
        <v>0</v>
      </c>
    </row>
    <row r="74" spans="1:33" ht="14.25">
      <c r="A74" s="110"/>
      <c r="B74" s="114" t="s">
        <v>48</v>
      </c>
      <c r="C74" s="244">
        <f>787481</f>
        <v>787481</v>
      </c>
      <c r="D74" s="244">
        <f>1185390</f>
        <v>1185390</v>
      </c>
      <c r="E74" s="244">
        <f>1100000</f>
        <v>1100000</v>
      </c>
      <c r="F74" s="244">
        <f>1100000</f>
        <v>1100000</v>
      </c>
      <c r="G74" s="244">
        <f>1400000</f>
        <v>1400000</v>
      </c>
      <c r="H74" s="244">
        <f>1400000</f>
        <v>1400000</v>
      </c>
      <c r="I74" s="244">
        <f>1540000</f>
        <v>1540000</v>
      </c>
      <c r="J74" s="244">
        <f>1620000</f>
        <v>1620000</v>
      </c>
      <c r="K74" s="244">
        <f>1310000</f>
        <v>1310000</v>
      </c>
      <c r="L74" s="244">
        <f>0</f>
        <v>0</v>
      </c>
      <c r="M74" s="244">
        <f>0</f>
        <v>0</v>
      </c>
      <c r="N74" s="244">
        <f>0</f>
        <v>0</v>
      </c>
      <c r="O74" s="244">
        <f>0</f>
        <v>0</v>
      </c>
      <c r="P74" s="244">
        <f>0</f>
        <v>0</v>
      </c>
      <c r="Q74" s="244">
        <f>0</f>
        <v>0</v>
      </c>
      <c r="R74" s="244">
        <f>0</f>
        <v>0</v>
      </c>
      <c r="S74" s="244">
        <f>0</f>
        <v>0</v>
      </c>
      <c r="T74" s="244">
        <f>0</f>
        <v>0</v>
      </c>
      <c r="U74" s="244">
        <f>0</f>
        <v>0</v>
      </c>
      <c r="V74" s="244">
        <f>0</f>
        <v>0</v>
      </c>
      <c r="W74" s="244">
        <f>0</f>
        <v>0</v>
      </c>
      <c r="X74" s="244">
        <f>0</f>
        <v>0</v>
      </c>
      <c r="Y74" s="244">
        <f>0</f>
        <v>0</v>
      </c>
      <c r="Z74" s="244">
        <f>0</f>
        <v>0</v>
      </c>
      <c r="AA74" s="244">
        <f>0</f>
        <v>0</v>
      </c>
      <c r="AB74" s="244">
        <f>0</f>
        <v>0</v>
      </c>
      <c r="AC74" s="244">
        <f>0</f>
        <v>0</v>
      </c>
      <c r="AD74" s="244">
        <f>0</f>
        <v>0</v>
      </c>
      <c r="AE74" s="244">
        <f>0</f>
        <v>0</v>
      </c>
      <c r="AF74" s="244">
        <f>0</f>
        <v>0</v>
      </c>
      <c r="AG74" s="244">
        <f>0</f>
        <v>0</v>
      </c>
    </row>
    <row r="75" spans="1:33" ht="14.25">
      <c r="A75" s="112"/>
      <c r="B75" s="113" t="s">
        <v>56</v>
      </c>
      <c r="C75" s="239">
        <f>23266745</f>
        <v>23266745</v>
      </c>
      <c r="D75" s="239">
        <f>23705610</f>
        <v>23705610</v>
      </c>
      <c r="E75" s="239">
        <f>23547000</f>
        <v>23547000</v>
      </c>
      <c r="F75" s="239">
        <f>24018000</f>
        <v>24018000</v>
      </c>
      <c r="G75" s="239">
        <f>24500000</f>
        <v>24500000</v>
      </c>
      <c r="H75" s="239">
        <f>24800000</f>
        <v>24800000</v>
      </c>
      <c r="I75" s="239">
        <f>25100000</f>
        <v>25100000</v>
      </c>
      <c r="J75" s="239">
        <f>25360000</f>
        <v>25360000</v>
      </c>
      <c r="K75" s="239">
        <f>25360000</f>
        <v>25360000</v>
      </c>
      <c r="L75" s="239">
        <f>0</f>
        <v>0</v>
      </c>
      <c r="M75" s="239">
        <f>0</f>
        <v>0</v>
      </c>
      <c r="N75" s="239">
        <f>0</f>
        <v>0</v>
      </c>
      <c r="O75" s="239">
        <f>0</f>
        <v>0</v>
      </c>
      <c r="P75" s="239">
        <f>0</f>
        <v>0</v>
      </c>
      <c r="Q75" s="239">
        <f>0</f>
        <v>0</v>
      </c>
      <c r="R75" s="239">
        <f>0</f>
        <v>0</v>
      </c>
      <c r="S75" s="239">
        <f>0</f>
        <v>0</v>
      </c>
      <c r="T75" s="239">
        <f>0</f>
        <v>0</v>
      </c>
      <c r="U75" s="239">
        <f>0</f>
        <v>0</v>
      </c>
      <c r="V75" s="239">
        <f>0</f>
        <v>0</v>
      </c>
      <c r="W75" s="239">
        <f>0</f>
        <v>0</v>
      </c>
      <c r="X75" s="239">
        <f>0</f>
        <v>0</v>
      </c>
      <c r="Y75" s="239">
        <f>0</f>
        <v>0</v>
      </c>
      <c r="Z75" s="239">
        <f>0</f>
        <v>0</v>
      </c>
      <c r="AA75" s="239">
        <f>0</f>
        <v>0</v>
      </c>
      <c r="AB75" s="239">
        <f>0</f>
        <v>0</v>
      </c>
      <c r="AC75" s="239">
        <f>0</f>
        <v>0</v>
      </c>
      <c r="AD75" s="239">
        <f>0</f>
        <v>0</v>
      </c>
      <c r="AE75" s="239">
        <f>0</f>
        <v>0</v>
      </c>
      <c r="AF75" s="239">
        <f>0</f>
        <v>0</v>
      </c>
      <c r="AG75" s="239">
        <f>0</f>
        <v>0</v>
      </c>
    </row>
    <row r="76" spans="1:33" ht="14.25">
      <c r="A76" s="96"/>
      <c r="B76" s="97" t="s">
        <v>45</v>
      </c>
      <c r="C76" s="243">
        <f>24766745</f>
        <v>24766745</v>
      </c>
      <c r="D76" s="243">
        <f>24005610</f>
        <v>24005610</v>
      </c>
      <c r="E76" s="243">
        <f>22757000</f>
        <v>22757000</v>
      </c>
      <c r="F76" s="243">
        <f>23248000</f>
        <v>23248000</v>
      </c>
      <c r="G76" s="243">
        <f>23650000</f>
        <v>23650000</v>
      </c>
      <c r="H76" s="243">
        <f>23800000</f>
        <v>23800000</v>
      </c>
      <c r="I76" s="243">
        <f>24450000</f>
        <v>24450000</v>
      </c>
      <c r="J76" s="243">
        <f>24720000</f>
        <v>24720000</v>
      </c>
      <c r="K76" s="243">
        <f>24870000</f>
        <v>24870000</v>
      </c>
      <c r="L76" s="243">
        <f>0</f>
        <v>0</v>
      </c>
      <c r="M76" s="243">
        <f>0</f>
        <v>0</v>
      </c>
      <c r="N76" s="243">
        <f>0</f>
        <v>0</v>
      </c>
      <c r="O76" s="243">
        <f>0</f>
        <v>0</v>
      </c>
      <c r="P76" s="243">
        <f>0</f>
        <v>0</v>
      </c>
      <c r="Q76" s="243">
        <f>0</f>
        <v>0</v>
      </c>
      <c r="R76" s="243">
        <f>0</f>
        <v>0</v>
      </c>
      <c r="S76" s="243">
        <f>0</f>
        <v>0</v>
      </c>
      <c r="T76" s="243">
        <f>0</f>
        <v>0</v>
      </c>
      <c r="U76" s="243">
        <f>0</f>
        <v>0</v>
      </c>
      <c r="V76" s="243">
        <f>0</f>
        <v>0</v>
      </c>
      <c r="W76" s="243">
        <f>0</f>
        <v>0</v>
      </c>
      <c r="X76" s="243">
        <f>0</f>
        <v>0</v>
      </c>
      <c r="Y76" s="243">
        <f>0</f>
        <v>0</v>
      </c>
      <c r="Z76" s="243">
        <f>0</f>
        <v>0</v>
      </c>
      <c r="AA76" s="243">
        <f>0</f>
        <v>0</v>
      </c>
      <c r="AB76" s="243">
        <f>0</f>
        <v>0</v>
      </c>
      <c r="AC76" s="243">
        <f>0</f>
        <v>0</v>
      </c>
      <c r="AD76" s="243">
        <f>0</f>
        <v>0</v>
      </c>
      <c r="AE76" s="243">
        <f>0</f>
        <v>0</v>
      </c>
      <c r="AF76" s="243">
        <f>0</f>
        <v>0</v>
      </c>
      <c r="AG76" s="243">
        <f>0</f>
        <v>0</v>
      </c>
    </row>
    <row r="77" spans="1:33" ht="14.25">
      <c r="A77" s="110"/>
      <c r="B77" s="114" t="s">
        <v>47</v>
      </c>
      <c r="C77" s="244">
        <f>-1500000</f>
        <v>-1500000</v>
      </c>
      <c r="D77" s="244">
        <f>-300000</f>
        <v>-300000</v>
      </c>
      <c r="E77" s="244">
        <f>790000</f>
        <v>790000</v>
      </c>
      <c r="F77" s="244">
        <f>770000</f>
        <v>770000</v>
      </c>
      <c r="G77" s="244">
        <f>850000</f>
        <v>850000</v>
      </c>
      <c r="H77" s="244">
        <f>1000000</f>
        <v>1000000</v>
      </c>
      <c r="I77" s="244">
        <f>650000</f>
        <v>650000</v>
      </c>
      <c r="J77" s="244">
        <f>640000</f>
        <v>640000</v>
      </c>
      <c r="K77" s="244">
        <f>490000</f>
        <v>490000</v>
      </c>
      <c r="L77" s="244">
        <f>0</f>
        <v>0</v>
      </c>
      <c r="M77" s="244">
        <f>0</f>
        <v>0</v>
      </c>
      <c r="N77" s="244">
        <f>0</f>
        <v>0</v>
      </c>
      <c r="O77" s="244">
        <f>0</f>
        <v>0</v>
      </c>
      <c r="P77" s="244">
        <f>0</f>
        <v>0</v>
      </c>
      <c r="Q77" s="244">
        <f>0</f>
        <v>0</v>
      </c>
      <c r="R77" s="244">
        <f>0</f>
        <v>0</v>
      </c>
      <c r="S77" s="244">
        <f>0</f>
        <v>0</v>
      </c>
      <c r="T77" s="244">
        <f>0</f>
        <v>0</v>
      </c>
      <c r="U77" s="244">
        <f>0</f>
        <v>0</v>
      </c>
      <c r="V77" s="244">
        <f>0</f>
        <v>0</v>
      </c>
      <c r="W77" s="244">
        <f>0</f>
        <v>0</v>
      </c>
      <c r="X77" s="244">
        <f>0</f>
        <v>0</v>
      </c>
      <c r="Y77" s="244">
        <f>0</f>
        <v>0</v>
      </c>
      <c r="Z77" s="244">
        <f>0</f>
        <v>0</v>
      </c>
      <c r="AA77" s="244">
        <f>0</f>
        <v>0</v>
      </c>
      <c r="AB77" s="244">
        <f>0</f>
        <v>0</v>
      </c>
      <c r="AC77" s="244">
        <f>0</f>
        <v>0</v>
      </c>
      <c r="AD77" s="244">
        <f>0</f>
        <v>0</v>
      </c>
      <c r="AE77" s="244">
        <f>0</f>
        <v>0</v>
      </c>
      <c r="AF77" s="244">
        <f>0</f>
        <v>0</v>
      </c>
      <c r="AG77" s="244">
        <f>0</f>
        <v>0</v>
      </c>
    </row>
    <row r="78" spans="1:33" ht="14.25">
      <c r="A78" s="112"/>
      <c r="B78" s="113" t="s">
        <v>49</v>
      </c>
      <c r="C78" s="239">
        <f>2025000</f>
        <v>2025000</v>
      </c>
      <c r="D78" s="239">
        <f>1000000</f>
        <v>1000000</v>
      </c>
      <c r="E78" s="239">
        <f>0</f>
        <v>0</v>
      </c>
      <c r="F78" s="239">
        <f>0</f>
        <v>0</v>
      </c>
      <c r="G78" s="239">
        <f>0</f>
        <v>0</v>
      </c>
      <c r="H78" s="239">
        <f>0</f>
        <v>0</v>
      </c>
      <c r="I78" s="239">
        <f>0</f>
        <v>0</v>
      </c>
      <c r="J78" s="239">
        <f>0</f>
        <v>0</v>
      </c>
      <c r="K78" s="239">
        <f>0</f>
        <v>0</v>
      </c>
      <c r="L78" s="239">
        <f>0</f>
        <v>0</v>
      </c>
      <c r="M78" s="239">
        <f>0</f>
        <v>0</v>
      </c>
      <c r="N78" s="239">
        <f>0</f>
        <v>0</v>
      </c>
      <c r="O78" s="239">
        <f>0</f>
        <v>0</v>
      </c>
      <c r="P78" s="239">
        <f>0</f>
        <v>0</v>
      </c>
      <c r="Q78" s="239">
        <f>0</f>
        <v>0</v>
      </c>
      <c r="R78" s="239">
        <f>0</f>
        <v>0</v>
      </c>
      <c r="S78" s="239">
        <f>0</f>
        <v>0</v>
      </c>
      <c r="T78" s="239">
        <f>0</f>
        <v>0</v>
      </c>
      <c r="U78" s="239">
        <f>0</f>
        <v>0</v>
      </c>
      <c r="V78" s="239">
        <f>0</f>
        <v>0</v>
      </c>
      <c r="W78" s="239">
        <f>0</f>
        <v>0</v>
      </c>
      <c r="X78" s="239">
        <f>0</f>
        <v>0</v>
      </c>
      <c r="Y78" s="239">
        <f>0</f>
        <v>0</v>
      </c>
      <c r="Z78" s="239">
        <f>0</f>
        <v>0</v>
      </c>
      <c r="AA78" s="239">
        <f>0</f>
        <v>0</v>
      </c>
      <c r="AB78" s="239">
        <f>0</f>
        <v>0</v>
      </c>
      <c r="AC78" s="239">
        <f>0</f>
        <v>0</v>
      </c>
      <c r="AD78" s="239">
        <f>0</f>
        <v>0</v>
      </c>
      <c r="AE78" s="239">
        <f>0</f>
        <v>0</v>
      </c>
      <c r="AF78" s="239">
        <f>0</f>
        <v>0</v>
      </c>
      <c r="AG78" s="239">
        <f>0</f>
        <v>0</v>
      </c>
    </row>
    <row r="79" spans="1:33" ht="14.25">
      <c r="A79" s="110"/>
      <c r="B79" s="254" t="s">
        <v>292</v>
      </c>
      <c r="C79" s="244">
        <f>525000</f>
        <v>525000</v>
      </c>
      <c r="D79" s="244">
        <f>700000</f>
        <v>700000</v>
      </c>
      <c r="E79" s="244">
        <f>790000</f>
        <v>790000</v>
      </c>
      <c r="F79" s="244">
        <f>770000</f>
        <v>770000</v>
      </c>
      <c r="G79" s="244">
        <f>850000</f>
        <v>850000</v>
      </c>
      <c r="H79" s="244">
        <f>1000000</f>
        <v>1000000</v>
      </c>
      <c r="I79" s="244">
        <f>650000</f>
        <v>650000</v>
      </c>
      <c r="J79" s="244">
        <f>640000</f>
        <v>640000</v>
      </c>
      <c r="K79" s="244">
        <f>490000</f>
        <v>490000</v>
      </c>
      <c r="L79" s="244">
        <f>0</f>
        <v>0</v>
      </c>
      <c r="M79" s="244">
        <f>0</f>
        <v>0</v>
      </c>
      <c r="N79" s="244">
        <f>0</f>
        <v>0</v>
      </c>
      <c r="O79" s="244">
        <f>0</f>
        <v>0</v>
      </c>
      <c r="P79" s="244">
        <f>0</f>
        <v>0</v>
      </c>
      <c r="Q79" s="244">
        <f>0</f>
        <v>0</v>
      </c>
      <c r="R79" s="244">
        <f>0</f>
        <v>0</v>
      </c>
      <c r="S79" s="244">
        <f>0</f>
        <v>0</v>
      </c>
      <c r="T79" s="244">
        <f>0</f>
        <v>0</v>
      </c>
      <c r="U79" s="244">
        <f>0</f>
        <v>0</v>
      </c>
      <c r="V79" s="244">
        <f>0</f>
        <v>0</v>
      </c>
      <c r="W79" s="244">
        <f>0</f>
        <v>0</v>
      </c>
      <c r="X79" s="244">
        <f>0</f>
        <v>0</v>
      </c>
      <c r="Y79" s="244">
        <f>0</f>
        <v>0</v>
      </c>
      <c r="Z79" s="244">
        <f>0</f>
        <v>0</v>
      </c>
      <c r="AA79" s="244">
        <f>0</f>
        <v>0</v>
      </c>
      <c r="AB79" s="244">
        <f>0</f>
        <v>0</v>
      </c>
      <c r="AC79" s="244">
        <f>0</f>
        <v>0</v>
      </c>
      <c r="AD79" s="244">
        <f>0</f>
        <v>0</v>
      </c>
      <c r="AE79" s="244">
        <f>0</f>
        <v>0</v>
      </c>
      <c r="AF79" s="244">
        <f>0</f>
        <v>0</v>
      </c>
      <c r="AG79" s="244">
        <f>0</f>
        <v>0</v>
      </c>
    </row>
    <row r="80" spans="1:31" ht="14.25">
      <c r="A80" s="2"/>
      <c r="B80" s="3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0" t="s">
        <v>84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0" t="s">
        <v>133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3:31" ht="14.2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3:31" ht="14.2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3:31" ht="14.2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21"/>
  <sheetViews>
    <sheetView zoomScalePageLayoutView="0" workbookViewId="0" topLeftCell="A1">
      <selection activeCell="O4" sqref="O4:O32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55</v>
      </c>
      <c r="L1" s="29" t="s">
        <v>81</v>
      </c>
      <c r="M1" s="77">
        <f>MIN(L:L)</f>
        <v>2013</v>
      </c>
    </row>
    <row r="3" spans="1:15" ht="15" thickBot="1">
      <c r="A3" s="26" t="s">
        <v>26</v>
      </c>
      <c r="B3" s="27" t="s">
        <v>27</v>
      </c>
      <c r="C3" s="27" t="s">
        <v>28</v>
      </c>
      <c r="D3" s="27" t="s">
        <v>29</v>
      </c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K3" s="27" t="s">
        <v>36</v>
      </c>
      <c r="L3" s="27" t="s">
        <v>37</v>
      </c>
      <c r="M3" s="27" t="s">
        <v>38</v>
      </c>
      <c r="N3" s="27" t="s">
        <v>42</v>
      </c>
      <c r="O3" s="27" t="s">
        <v>43</v>
      </c>
    </row>
    <row r="4" spans="1:15" ht="14.25">
      <c r="A4" s="73">
        <v>2013</v>
      </c>
      <c r="B4" s="74" t="s">
        <v>387</v>
      </c>
      <c r="C4" s="74" t="s">
        <v>388</v>
      </c>
      <c r="D4" s="75">
        <v>3007042</v>
      </c>
      <c r="E4" s="75">
        <v>2</v>
      </c>
      <c r="F4" s="75"/>
      <c r="G4" s="74">
        <v>490</v>
      </c>
      <c r="H4" s="74" t="s">
        <v>131</v>
      </c>
      <c r="I4" s="75" t="s">
        <v>389</v>
      </c>
      <c r="J4" s="75" t="s">
        <v>289</v>
      </c>
      <c r="K4" s="75" t="b">
        <v>0</v>
      </c>
      <c r="L4" s="71">
        <v>2017</v>
      </c>
      <c r="M4" s="72">
        <v>18</v>
      </c>
      <c r="N4" s="76">
        <v>41275</v>
      </c>
      <c r="O4" s="76">
        <v>41275</v>
      </c>
    </row>
    <row r="5" spans="1:15" ht="14.25">
      <c r="A5" s="73">
        <v>2013</v>
      </c>
      <c r="B5" s="74" t="s">
        <v>387</v>
      </c>
      <c r="C5" s="74" t="s">
        <v>388</v>
      </c>
      <c r="D5" s="75">
        <v>3007042</v>
      </c>
      <c r="E5" s="75">
        <v>2</v>
      </c>
      <c r="F5" s="75"/>
      <c r="G5" s="74">
        <v>540</v>
      </c>
      <c r="H5" s="74">
        <v>27</v>
      </c>
      <c r="I5" s="75" t="s">
        <v>390</v>
      </c>
      <c r="J5" s="75" t="s">
        <v>45</v>
      </c>
      <c r="K5" s="75" t="b">
        <v>0</v>
      </c>
      <c r="L5" s="71">
        <v>2018</v>
      </c>
      <c r="M5" s="72">
        <v>23800000</v>
      </c>
      <c r="N5" s="76">
        <v>41275</v>
      </c>
      <c r="O5" s="76">
        <v>41275</v>
      </c>
    </row>
    <row r="6" spans="1:15" ht="14.25">
      <c r="A6" s="73">
        <v>2013</v>
      </c>
      <c r="B6" s="74" t="s">
        <v>387</v>
      </c>
      <c r="C6" s="74" t="s">
        <v>388</v>
      </c>
      <c r="D6" s="75">
        <v>3007042</v>
      </c>
      <c r="E6" s="75">
        <v>2</v>
      </c>
      <c r="F6" s="75"/>
      <c r="G6" s="74">
        <v>300</v>
      </c>
      <c r="H6" s="74">
        <v>11</v>
      </c>
      <c r="I6" s="75"/>
      <c r="J6" s="75" t="s">
        <v>60</v>
      </c>
      <c r="K6" s="75" t="b">
        <v>1</v>
      </c>
      <c r="L6" s="71">
        <v>2013</v>
      </c>
      <c r="M6" s="72">
        <v>2000000</v>
      </c>
      <c r="N6" s="76">
        <v>41275</v>
      </c>
      <c r="O6" s="76">
        <v>41275</v>
      </c>
    </row>
    <row r="7" spans="1:15" ht="14.25">
      <c r="A7" s="73">
        <v>2013</v>
      </c>
      <c r="B7" s="74" t="s">
        <v>387</v>
      </c>
      <c r="C7" s="74" t="s">
        <v>388</v>
      </c>
      <c r="D7" s="75">
        <v>3007042</v>
      </c>
      <c r="E7" s="75">
        <v>2</v>
      </c>
      <c r="F7" s="75"/>
      <c r="G7" s="74">
        <v>470</v>
      </c>
      <c r="H7" s="74" t="s">
        <v>130</v>
      </c>
      <c r="I7" s="75" t="s">
        <v>391</v>
      </c>
      <c r="J7" s="75" t="s">
        <v>286</v>
      </c>
      <c r="K7" s="75" t="b">
        <v>0</v>
      </c>
      <c r="L7" s="71">
        <v>2017</v>
      </c>
      <c r="M7" s="72">
        <v>18</v>
      </c>
      <c r="N7" s="76">
        <v>41275</v>
      </c>
      <c r="O7" s="76">
        <v>41275</v>
      </c>
    </row>
    <row r="8" spans="1:15" ht="14.25">
      <c r="A8" s="73">
        <v>2013</v>
      </c>
      <c r="B8" s="74" t="s">
        <v>387</v>
      </c>
      <c r="C8" s="74" t="s">
        <v>388</v>
      </c>
      <c r="D8" s="75">
        <v>3007042</v>
      </c>
      <c r="E8" s="75">
        <v>2</v>
      </c>
      <c r="F8" s="75"/>
      <c r="G8" s="74">
        <v>470</v>
      </c>
      <c r="H8" s="74" t="s">
        <v>130</v>
      </c>
      <c r="I8" s="75" t="s">
        <v>391</v>
      </c>
      <c r="J8" s="75" t="s">
        <v>286</v>
      </c>
      <c r="K8" s="75" t="b">
        <v>0</v>
      </c>
      <c r="L8" s="71">
        <v>2021</v>
      </c>
      <c r="M8" s="72">
        <v>393</v>
      </c>
      <c r="N8" s="76">
        <v>41275</v>
      </c>
      <c r="O8" s="76">
        <v>41275</v>
      </c>
    </row>
    <row r="9" spans="1:15" ht="14.25">
      <c r="A9" s="73">
        <v>2013</v>
      </c>
      <c r="B9" s="74" t="s">
        <v>387</v>
      </c>
      <c r="C9" s="74" t="s">
        <v>388</v>
      </c>
      <c r="D9" s="75">
        <v>3007042</v>
      </c>
      <c r="E9" s="75">
        <v>2</v>
      </c>
      <c r="F9" s="75"/>
      <c r="G9" s="74">
        <v>451</v>
      </c>
      <c r="H9" s="74" t="s">
        <v>259</v>
      </c>
      <c r="I9" s="75" t="s">
        <v>392</v>
      </c>
      <c r="J9" s="75" t="s">
        <v>284</v>
      </c>
      <c r="K9" s="75" t="b">
        <v>0</v>
      </c>
      <c r="L9" s="71">
        <v>2021</v>
      </c>
      <c r="M9" s="72">
        <v>0.0606</v>
      </c>
      <c r="N9" s="76">
        <v>41275</v>
      </c>
      <c r="O9" s="76">
        <v>41275</v>
      </c>
    </row>
    <row r="10" spans="1:15" ht="14.25">
      <c r="A10" s="73">
        <v>2013</v>
      </c>
      <c r="B10" s="74" t="s">
        <v>387</v>
      </c>
      <c r="C10" s="74" t="s">
        <v>388</v>
      </c>
      <c r="D10" s="75">
        <v>3007042</v>
      </c>
      <c r="E10" s="75">
        <v>2</v>
      </c>
      <c r="F10" s="75"/>
      <c r="G10" s="74">
        <v>480</v>
      </c>
      <c r="H10" s="74">
        <v>22</v>
      </c>
      <c r="I10" s="75" t="s">
        <v>393</v>
      </c>
      <c r="J10" s="75" t="s">
        <v>288</v>
      </c>
      <c r="K10" s="75" t="b">
        <v>0</v>
      </c>
      <c r="L10" s="71">
        <v>2016</v>
      </c>
      <c r="M10" s="72">
        <v>0.0458</v>
      </c>
      <c r="N10" s="76">
        <v>41275</v>
      </c>
      <c r="O10" s="76">
        <v>41275</v>
      </c>
    </row>
    <row r="11" spans="1:15" ht="14.25">
      <c r="A11" s="73">
        <v>2013</v>
      </c>
      <c r="B11" s="74" t="s">
        <v>387</v>
      </c>
      <c r="C11" s="74" t="s">
        <v>388</v>
      </c>
      <c r="D11" s="75">
        <v>3007042</v>
      </c>
      <c r="E11" s="75">
        <v>2</v>
      </c>
      <c r="F11" s="75"/>
      <c r="G11" s="74">
        <v>190</v>
      </c>
      <c r="H11" s="74">
        <v>6</v>
      </c>
      <c r="I11" s="75" t="s">
        <v>394</v>
      </c>
      <c r="J11" s="75" t="s">
        <v>109</v>
      </c>
      <c r="K11" s="75" t="b">
        <v>0</v>
      </c>
      <c r="L11" s="71">
        <v>2017</v>
      </c>
      <c r="M11" s="72">
        <v>1670000</v>
      </c>
      <c r="N11" s="76">
        <v>41275</v>
      </c>
      <c r="O11" s="76">
        <v>41275</v>
      </c>
    </row>
    <row r="12" spans="1:15" ht="14.25">
      <c r="A12" s="73">
        <v>2013</v>
      </c>
      <c r="B12" s="74" t="s">
        <v>387</v>
      </c>
      <c r="C12" s="74" t="s">
        <v>388</v>
      </c>
      <c r="D12" s="75">
        <v>3007042</v>
      </c>
      <c r="E12" s="75">
        <v>2</v>
      </c>
      <c r="F12" s="75"/>
      <c r="G12" s="74">
        <v>370</v>
      </c>
      <c r="H12" s="74">
        <v>16</v>
      </c>
      <c r="I12" s="75"/>
      <c r="J12" s="75" t="s">
        <v>124</v>
      </c>
      <c r="K12" s="75" t="b">
        <v>1</v>
      </c>
      <c r="L12" s="71">
        <v>2019</v>
      </c>
      <c r="M12" s="72">
        <v>650000</v>
      </c>
      <c r="N12" s="76">
        <v>41275</v>
      </c>
      <c r="O12" s="76">
        <v>41275</v>
      </c>
    </row>
    <row r="13" spans="1:15" ht="14.25">
      <c r="A13" s="73">
        <v>2013</v>
      </c>
      <c r="B13" s="74" t="s">
        <v>387</v>
      </c>
      <c r="C13" s="74" t="s">
        <v>388</v>
      </c>
      <c r="D13" s="75">
        <v>3007042</v>
      </c>
      <c r="E13" s="75">
        <v>2</v>
      </c>
      <c r="F13" s="75"/>
      <c r="G13" s="74">
        <v>410</v>
      </c>
      <c r="H13" s="74" t="s">
        <v>126</v>
      </c>
      <c r="I13" s="75" t="s">
        <v>395</v>
      </c>
      <c r="J13" s="75" t="s">
        <v>69</v>
      </c>
      <c r="K13" s="75" t="b">
        <v>0</v>
      </c>
      <c r="L13" s="71">
        <v>2015</v>
      </c>
      <c r="M13" s="72">
        <v>0.1869</v>
      </c>
      <c r="N13" s="76">
        <v>41275</v>
      </c>
      <c r="O13" s="76">
        <v>41275</v>
      </c>
    </row>
    <row r="14" spans="1:15" ht="14.25">
      <c r="A14" s="73">
        <v>2013</v>
      </c>
      <c r="B14" s="74" t="s">
        <v>387</v>
      </c>
      <c r="C14" s="74" t="s">
        <v>388</v>
      </c>
      <c r="D14" s="75">
        <v>3007042</v>
      </c>
      <c r="E14" s="75">
        <v>2</v>
      </c>
      <c r="F14" s="75"/>
      <c r="G14" s="74">
        <v>200</v>
      </c>
      <c r="H14" s="74">
        <v>7</v>
      </c>
      <c r="I14" s="75" t="s">
        <v>396</v>
      </c>
      <c r="J14" s="75" t="s">
        <v>11</v>
      </c>
      <c r="K14" s="75" t="b">
        <v>1</v>
      </c>
      <c r="L14" s="71">
        <v>2017</v>
      </c>
      <c r="M14" s="72">
        <v>1120000</v>
      </c>
      <c r="N14" s="76">
        <v>41275</v>
      </c>
      <c r="O14" s="76">
        <v>41275</v>
      </c>
    </row>
    <row r="15" spans="1:15" ht="14.25">
      <c r="A15" s="73">
        <v>2013</v>
      </c>
      <c r="B15" s="74" t="s">
        <v>387</v>
      </c>
      <c r="C15" s="74" t="s">
        <v>388</v>
      </c>
      <c r="D15" s="75">
        <v>3007042</v>
      </c>
      <c r="E15" s="75">
        <v>2</v>
      </c>
      <c r="F15" s="75"/>
      <c r="G15" s="74">
        <v>491</v>
      </c>
      <c r="H15" s="74" t="s">
        <v>261</v>
      </c>
      <c r="I15" s="75" t="s">
        <v>389</v>
      </c>
      <c r="J15" s="75" t="s">
        <v>290</v>
      </c>
      <c r="K15" s="75" t="b">
        <v>0</v>
      </c>
      <c r="L15" s="71">
        <v>2019</v>
      </c>
      <c r="M15" s="72">
        <v>212</v>
      </c>
      <c r="N15" s="76">
        <v>41275</v>
      </c>
      <c r="O15" s="76">
        <v>41275</v>
      </c>
    </row>
    <row r="16" spans="1:15" ht="14.25">
      <c r="A16" s="73">
        <v>2013</v>
      </c>
      <c r="B16" s="74" t="s">
        <v>387</v>
      </c>
      <c r="C16" s="74" t="s">
        <v>388</v>
      </c>
      <c r="D16" s="75">
        <v>3007042</v>
      </c>
      <c r="E16" s="75">
        <v>2</v>
      </c>
      <c r="F16" s="75"/>
      <c r="G16" s="74">
        <v>270</v>
      </c>
      <c r="H16" s="74">
        <v>10</v>
      </c>
      <c r="I16" s="75"/>
      <c r="J16" s="75" t="s">
        <v>17</v>
      </c>
      <c r="K16" s="75" t="b">
        <v>0</v>
      </c>
      <c r="L16" s="71">
        <v>2014</v>
      </c>
      <c r="M16" s="72">
        <v>2120000</v>
      </c>
      <c r="N16" s="76">
        <v>41275</v>
      </c>
      <c r="O16" s="76">
        <v>41275</v>
      </c>
    </row>
    <row r="17" spans="1:15" ht="14.25">
      <c r="A17" s="73">
        <v>2013</v>
      </c>
      <c r="B17" s="74" t="s">
        <v>387</v>
      </c>
      <c r="C17" s="74" t="s">
        <v>388</v>
      </c>
      <c r="D17" s="75">
        <v>3007042</v>
      </c>
      <c r="E17" s="75">
        <v>2</v>
      </c>
      <c r="F17" s="75"/>
      <c r="G17" s="74">
        <v>370</v>
      </c>
      <c r="H17" s="74">
        <v>16</v>
      </c>
      <c r="I17" s="75"/>
      <c r="J17" s="75" t="s">
        <v>124</v>
      </c>
      <c r="K17" s="75" t="b">
        <v>1</v>
      </c>
      <c r="L17" s="71">
        <v>2016</v>
      </c>
      <c r="M17" s="72">
        <v>770000</v>
      </c>
      <c r="N17" s="76">
        <v>41275</v>
      </c>
      <c r="O17" s="76">
        <v>41275</v>
      </c>
    </row>
    <row r="18" spans="1:15" ht="14.25">
      <c r="A18" s="73">
        <v>2013</v>
      </c>
      <c r="B18" s="74" t="s">
        <v>387</v>
      </c>
      <c r="C18" s="74" t="s">
        <v>388</v>
      </c>
      <c r="D18" s="75">
        <v>3007042</v>
      </c>
      <c r="E18" s="75">
        <v>2</v>
      </c>
      <c r="F18" s="75"/>
      <c r="G18" s="74">
        <v>430</v>
      </c>
      <c r="H18" s="74" t="s">
        <v>127</v>
      </c>
      <c r="I18" s="75" t="s">
        <v>397</v>
      </c>
      <c r="J18" s="75" t="s">
        <v>72</v>
      </c>
      <c r="K18" s="75" t="b">
        <v>0</v>
      </c>
      <c r="L18" s="71">
        <v>2013</v>
      </c>
      <c r="M18" s="72">
        <v>0.0387</v>
      </c>
      <c r="N18" s="76">
        <v>41275</v>
      </c>
      <c r="O18" s="76">
        <v>41275</v>
      </c>
    </row>
    <row r="19" spans="1:15" ht="14.25">
      <c r="A19" s="73">
        <v>2013</v>
      </c>
      <c r="B19" s="74" t="s">
        <v>387</v>
      </c>
      <c r="C19" s="74" t="s">
        <v>388</v>
      </c>
      <c r="D19" s="75">
        <v>3007042</v>
      </c>
      <c r="E19" s="75">
        <v>2</v>
      </c>
      <c r="F19" s="75"/>
      <c r="G19" s="74">
        <v>550</v>
      </c>
      <c r="H19" s="74">
        <v>28</v>
      </c>
      <c r="I19" s="75" t="s">
        <v>398</v>
      </c>
      <c r="J19" s="75" t="s">
        <v>47</v>
      </c>
      <c r="K19" s="75" t="b">
        <v>0</v>
      </c>
      <c r="L19" s="71">
        <v>2019</v>
      </c>
      <c r="M19" s="72">
        <v>650000</v>
      </c>
      <c r="N19" s="76">
        <v>41275</v>
      </c>
      <c r="O19" s="76">
        <v>41275</v>
      </c>
    </row>
    <row r="20" spans="1:15" ht="14.25">
      <c r="A20" s="73">
        <v>2013</v>
      </c>
      <c r="B20" s="74" t="s">
        <v>387</v>
      </c>
      <c r="C20" s="74" t="s">
        <v>388</v>
      </c>
      <c r="D20" s="75">
        <v>3007042</v>
      </c>
      <c r="E20" s="75">
        <v>2</v>
      </c>
      <c r="F20" s="75"/>
      <c r="G20" s="74">
        <v>440</v>
      </c>
      <c r="H20" s="74">
        <v>20</v>
      </c>
      <c r="I20" s="75" t="s">
        <v>399</v>
      </c>
      <c r="J20" s="75" t="s">
        <v>128</v>
      </c>
      <c r="K20" s="75" t="b">
        <v>1</v>
      </c>
      <c r="L20" s="71">
        <v>2017</v>
      </c>
      <c r="M20" s="72">
        <v>0.0571</v>
      </c>
      <c r="N20" s="76">
        <v>41275</v>
      </c>
      <c r="O20" s="76">
        <v>41275</v>
      </c>
    </row>
    <row r="21" spans="1:15" ht="14.25">
      <c r="A21" s="73">
        <v>2013</v>
      </c>
      <c r="B21" s="74" t="s">
        <v>387</v>
      </c>
      <c r="C21" s="74" t="s">
        <v>388</v>
      </c>
      <c r="D21" s="75">
        <v>3007042</v>
      </c>
      <c r="E21" s="75">
        <v>2</v>
      </c>
      <c r="F21" s="75"/>
      <c r="G21" s="74">
        <v>240</v>
      </c>
      <c r="H21" s="74" t="s">
        <v>114</v>
      </c>
      <c r="I21" s="75"/>
      <c r="J21" s="75" t="s">
        <v>273</v>
      </c>
      <c r="K21" s="75" t="b">
        <v>1</v>
      </c>
      <c r="L21" s="71">
        <v>2014</v>
      </c>
      <c r="M21" s="72">
        <v>400000</v>
      </c>
      <c r="N21" s="76">
        <v>41275</v>
      </c>
      <c r="O21" s="76">
        <v>41275</v>
      </c>
    </row>
    <row r="22" spans="1:15" ht="14.25">
      <c r="A22" s="73">
        <v>2013</v>
      </c>
      <c r="B22" s="74" t="s">
        <v>387</v>
      </c>
      <c r="C22" s="74" t="s">
        <v>388</v>
      </c>
      <c r="D22" s="75">
        <v>3007042</v>
      </c>
      <c r="E22" s="75">
        <v>2</v>
      </c>
      <c r="F22" s="75"/>
      <c r="G22" s="74">
        <v>430</v>
      </c>
      <c r="H22" s="74" t="s">
        <v>127</v>
      </c>
      <c r="I22" s="75" t="s">
        <v>397</v>
      </c>
      <c r="J22" s="75" t="s">
        <v>72</v>
      </c>
      <c r="K22" s="75" t="b">
        <v>0</v>
      </c>
      <c r="L22" s="71">
        <v>2017</v>
      </c>
      <c r="M22" s="72">
        <v>0.0457</v>
      </c>
      <c r="N22" s="76">
        <v>41275</v>
      </c>
      <c r="O22" s="76">
        <v>41275</v>
      </c>
    </row>
    <row r="23" spans="1:15" ht="14.25">
      <c r="A23" s="73">
        <v>2013</v>
      </c>
      <c r="B23" s="74" t="s">
        <v>387</v>
      </c>
      <c r="C23" s="74" t="s">
        <v>388</v>
      </c>
      <c r="D23" s="75">
        <v>3007042</v>
      </c>
      <c r="E23" s="75">
        <v>2</v>
      </c>
      <c r="F23" s="75"/>
      <c r="G23" s="74">
        <v>570</v>
      </c>
      <c r="H23" s="74">
        <v>30</v>
      </c>
      <c r="I23" s="75" t="s">
        <v>400</v>
      </c>
      <c r="J23" s="75" t="s">
        <v>292</v>
      </c>
      <c r="K23" s="75" t="b">
        <v>0</v>
      </c>
      <c r="L23" s="71">
        <v>2021</v>
      </c>
      <c r="M23" s="72">
        <v>490000</v>
      </c>
      <c r="N23" s="76">
        <v>41275</v>
      </c>
      <c r="O23" s="76">
        <v>41275</v>
      </c>
    </row>
    <row r="24" spans="1:15" ht="14.25">
      <c r="A24" s="73">
        <v>2013</v>
      </c>
      <c r="B24" s="74" t="s">
        <v>387</v>
      </c>
      <c r="C24" s="74" t="s">
        <v>388</v>
      </c>
      <c r="D24" s="75">
        <v>3007042</v>
      </c>
      <c r="E24" s="75">
        <v>2</v>
      </c>
      <c r="F24" s="75"/>
      <c r="G24" s="74">
        <v>450</v>
      </c>
      <c r="H24" s="74" t="s">
        <v>129</v>
      </c>
      <c r="I24" s="75" t="s">
        <v>392</v>
      </c>
      <c r="J24" s="75" t="s">
        <v>52</v>
      </c>
      <c r="K24" s="75" t="b">
        <v>0</v>
      </c>
      <c r="L24" s="71">
        <v>2014</v>
      </c>
      <c r="M24" s="72">
        <v>0.0733</v>
      </c>
      <c r="N24" s="76">
        <v>41275</v>
      </c>
      <c r="O24" s="76">
        <v>41275</v>
      </c>
    </row>
    <row r="25" spans="1:15" ht="14.25">
      <c r="A25" s="73">
        <v>2013</v>
      </c>
      <c r="B25" s="74" t="s">
        <v>387</v>
      </c>
      <c r="C25" s="74" t="s">
        <v>388</v>
      </c>
      <c r="D25" s="75">
        <v>3007042</v>
      </c>
      <c r="E25" s="75">
        <v>2</v>
      </c>
      <c r="F25" s="75"/>
      <c r="G25" s="74">
        <v>410</v>
      </c>
      <c r="H25" s="74" t="s">
        <v>126</v>
      </c>
      <c r="I25" s="75" t="s">
        <v>395</v>
      </c>
      <c r="J25" s="75" t="s">
        <v>69</v>
      </c>
      <c r="K25" s="75" t="b">
        <v>0</v>
      </c>
      <c r="L25" s="71">
        <v>2017</v>
      </c>
      <c r="M25" s="72">
        <v>0.1135</v>
      </c>
      <c r="N25" s="76">
        <v>41275</v>
      </c>
      <c r="O25" s="76">
        <v>41275</v>
      </c>
    </row>
    <row r="26" spans="1:15" ht="14.25">
      <c r="A26" s="73">
        <v>2013</v>
      </c>
      <c r="B26" s="74" t="s">
        <v>387</v>
      </c>
      <c r="C26" s="74" t="s">
        <v>388</v>
      </c>
      <c r="D26" s="75">
        <v>3007042</v>
      </c>
      <c r="E26" s="75">
        <v>2</v>
      </c>
      <c r="F26" s="75"/>
      <c r="G26" s="74">
        <v>420</v>
      </c>
      <c r="H26" s="74">
        <v>19</v>
      </c>
      <c r="I26" s="75" t="s">
        <v>401</v>
      </c>
      <c r="J26" s="75" t="s">
        <v>70</v>
      </c>
      <c r="K26" s="75" t="b">
        <v>1</v>
      </c>
      <c r="L26" s="71">
        <v>2017</v>
      </c>
      <c r="M26" s="72">
        <v>0.0457</v>
      </c>
      <c r="N26" s="76">
        <v>41275</v>
      </c>
      <c r="O26" s="76">
        <v>41275</v>
      </c>
    </row>
    <row r="27" spans="1:15" ht="14.25">
      <c r="A27" s="73">
        <v>2013</v>
      </c>
      <c r="B27" s="74" t="s">
        <v>387</v>
      </c>
      <c r="C27" s="74" t="s">
        <v>388</v>
      </c>
      <c r="D27" s="75">
        <v>3007042</v>
      </c>
      <c r="E27" s="75">
        <v>2</v>
      </c>
      <c r="F27" s="75"/>
      <c r="G27" s="74">
        <v>400</v>
      </c>
      <c r="H27" s="74">
        <v>18</v>
      </c>
      <c r="I27" s="75" t="s">
        <v>402</v>
      </c>
      <c r="J27" s="75" t="s">
        <v>67</v>
      </c>
      <c r="K27" s="75" t="b">
        <v>0</v>
      </c>
      <c r="L27" s="71">
        <v>2019</v>
      </c>
      <c r="M27" s="72">
        <v>0.045</v>
      </c>
      <c r="N27" s="76">
        <v>41275</v>
      </c>
      <c r="O27" s="76">
        <v>41275</v>
      </c>
    </row>
    <row r="28" spans="1:15" ht="14.25">
      <c r="A28" s="73">
        <v>2013</v>
      </c>
      <c r="B28" s="74" t="s">
        <v>387</v>
      </c>
      <c r="C28" s="74" t="s">
        <v>388</v>
      </c>
      <c r="D28" s="75">
        <v>3007042</v>
      </c>
      <c r="E28" s="75">
        <v>2</v>
      </c>
      <c r="F28" s="75"/>
      <c r="G28" s="74">
        <v>450</v>
      </c>
      <c r="H28" s="74" t="s">
        <v>129</v>
      </c>
      <c r="I28" s="75" t="s">
        <v>392</v>
      </c>
      <c r="J28" s="75" t="s">
        <v>52</v>
      </c>
      <c r="K28" s="75" t="b">
        <v>0</v>
      </c>
      <c r="L28" s="71">
        <v>2020</v>
      </c>
      <c r="M28" s="72">
        <v>0.0583</v>
      </c>
      <c r="N28" s="76">
        <v>41275</v>
      </c>
      <c r="O28" s="76">
        <v>41275</v>
      </c>
    </row>
    <row r="29" spans="1:15" ht="14.25">
      <c r="A29" s="73">
        <v>2013</v>
      </c>
      <c r="B29" s="74" t="s">
        <v>387</v>
      </c>
      <c r="C29" s="74" t="s">
        <v>388</v>
      </c>
      <c r="D29" s="75">
        <v>3007042</v>
      </c>
      <c r="E29" s="75">
        <v>2</v>
      </c>
      <c r="F29" s="75"/>
      <c r="G29" s="74">
        <v>560</v>
      </c>
      <c r="H29" s="74">
        <v>29</v>
      </c>
      <c r="I29" s="75" t="s">
        <v>403</v>
      </c>
      <c r="J29" s="75" t="s">
        <v>49</v>
      </c>
      <c r="K29" s="75" t="b">
        <v>0</v>
      </c>
      <c r="L29" s="71">
        <v>2014</v>
      </c>
      <c r="M29" s="72">
        <v>1000000</v>
      </c>
      <c r="N29" s="76">
        <v>41275</v>
      </c>
      <c r="O29" s="76">
        <v>41275</v>
      </c>
    </row>
    <row r="30" spans="1:15" ht="14.25">
      <c r="A30" s="73">
        <v>2013</v>
      </c>
      <c r="B30" s="74" t="s">
        <v>387</v>
      </c>
      <c r="C30" s="74" t="s">
        <v>388</v>
      </c>
      <c r="D30" s="75">
        <v>3007042</v>
      </c>
      <c r="E30" s="75">
        <v>2</v>
      </c>
      <c r="F30" s="75"/>
      <c r="G30" s="74">
        <v>8</v>
      </c>
      <c r="H30" s="74" t="s">
        <v>94</v>
      </c>
      <c r="I30" s="75"/>
      <c r="J30" s="75" t="s">
        <v>245</v>
      </c>
      <c r="K30" s="75" t="b">
        <v>1</v>
      </c>
      <c r="L30" s="71">
        <v>2013</v>
      </c>
      <c r="M30" s="72">
        <v>693738</v>
      </c>
      <c r="N30" s="76">
        <v>41275</v>
      </c>
      <c r="O30" s="76">
        <v>41275</v>
      </c>
    </row>
    <row r="31" spans="1:15" ht="14.25">
      <c r="A31" s="73">
        <v>2013</v>
      </c>
      <c r="B31" s="74" t="s">
        <v>387</v>
      </c>
      <c r="C31" s="74" t="s">
        <v>388</v>
      </c>
      <c r="D31" s="75">
        <v>3007042</v>
      </c>
      <c r="E31" s="75">
        <v>2</v>
      </c>
      <c r="F31" s="75"/>
      <c r="G31" s="74">
        <v>7</v>
      </c>
      <c r="H31" s="74" t="s">
        <v>243</v>
      </c>
      <c r="I31" s="75"/>
      <c r="J31" s="75" t="s">
        <v>244</v>
      </c>
      <c r="K31" s="75" t="b">
        <v>1</v>
      </c>
      <c r="L31" s="71">
        <v>2014</v>
      </c>
      <c r="M31" s="72">
        <v>634610</v>
      </c>
      <c r="N31" s="76">
        <v>41275</v>
      </c>
      <c r="O31" s="76">
        <v>41275</v>
      </c>
    </row>
    <row r="32" spans="1:15" ht="14.25">
      <c r="A32" s="73">
        <v>2013</v>
      </c>
      <c r="B32" s="74" t="s">
        <v>387</v>
      </c>
      <c r="C32" s="74" t="s">
        <v>388</v>
      </c>
      <c r="D32" s="75">
        <v>3007042</v>
      </c>
      <c r="E32" s="75">
        <v>2</v>
      </c>
      <c r="F32" s="75"/>
      <c r="G32" s="74">
        <v>491</v>
      </c>
      <c r="H32" s="74" t="s">
        <v>261</v>
      </c>
      <c r="I32" s="75" t="s">
        <v>389</v>
      </c>
      <c r="J32" s="75" t="s">
        <v>290</v>
      </c>
      <c r="K32" s="75" t="b">
        <v>0</v>
      </c>
      <c r="L32" s="71">
        <v>2015</v>
      </c>
      <c r="M32" s="72">
        <v>96</v>
      </c>
      <c r="N32" s="76">
        <v>41275</v>
      </c>
      <c r="O32" s="76">
        <v>41275</v>
      </c>
    </row>
    <row r="33" spans="1:15" ht="14.25">
      <c r="A33" s="73">
        <v>2013</v>
      </c>
      <c r="B33" s="74" t="s">
        <v>387</v>
      </c>
      <c r="C33" s="74" t="s">
        <v>388</v>
      </c>
      <c r="D33" s="75">
        <v>3007042</v>
      </c>
      <c r="E33" s="75">
        <v>2</v>
      </c>
      <c r="F33" s="75"/>
      <c r="G33" s="74">
        <v>240</v>
      </c>
      <c r="H33" s="74" t="s">
        <v>114</v>
      </c>
      <c r="I33" s="75"/>
      <c r="J33" s="75" t="s">
        <v>273</v>
      </c>
      <c r="K33" s="75" t="b">
        <v>1</v>
      </c>
      <c r="L33" s="71">
        <v>2018</v>
      </c>
      <c r="M33" s="72">
        <v>225000</v>
      </c>
      <c r="N33" s="76">
        <v>41275</v>
      </c>
      <c r="O33" s="76">
        <v>41275</v>
      </c>
    </row>
    <row r="34" spans="1:15" ht="14.25">
      <c r="A34" s="73">
        <v>2013</v>
      </c>
      <c r="B34" s="74" t="s">
        <v>387</v>
      </c>
      <c r="C34" s="74" t="s">
        <v>388</v>
      </c>
      <c r="D34" s="75">
        <v>3007042</v>
      </c>
      <c r="E34" s="75">
        <v>2</v>
      </c>
      <c r="F34" s="75"/>
      <c r="G34" s="74">
        <v>570</v>
      </c>
      <c r="H34" s="74">
        <v>30</v>
      </c>
      <c r="I34" s="75" t="s">
        <v>400</v>
      </c>
      <c r="J34" s="75" t="s">
        <v>292</v>
      </c>
      <c r="K34" s="75" t="b">
        <v>0</v>
      </c>
      <c r="L34" s="71">
        <v>2014</v>
      </c>
      <c r="M34" s="72">
        <v>700000</v>
      </c>
      <c r="N34" s="76">
        <v>41275</v>
      </c>
      <c r="O34" s="76">
        <v>41275</v>
      </c>
    </row>
    <row r="35" spans="1:15" ht="14.25">
      <c r="A35" s="73">
        <v>2013</v>
      </c>
      <c r="B35" s="74" t="s">
        <v>387</v>
      </c>
      <c r="C35" s="74" t="s">
        <v>388</v>
      </c>
      <c r="D35" s="75">
        <v>3007042</v>
      </c>
      <c r="E35" s="75">
        <v>2</v>
      </c>
      <c r="F35" s="75"/>
      <c r="G35" s="74">
        <v>570</v>
      </c>
      <c r="H35" s="74">
        <v>30</v>
      </c>
      <c r="I35" s="75" t="s">
        <v>400</v>
      </c>
      <c r="J35" s="75" t="s">
        <v>292</v>
      </c>
      <c r="K35" s="75" t="b">
        <v>0</v>
      </c>
      <c r="L35" s="71">
        <v>2017</v>
      </c>
      <c r="M35" s="72">
        <v>850000</v>
      </c>
      <c r="N35" s="76">
        <v>41275</v>
      </c>
      <c r="O35" s="76">
        <v>41275</v>
      </c>
    </row>
    <row r="36" spans="1:15" ht="14.25">
      <c r="A36" s="73">
        <v>2013</v>
      </c>
      <c r="B36" s="74" t="s">
        <v>387</v>
      </c>
      <c r="C36" s="74" t="s">
        <v>388</v>
      </c>
      <c r="D36" s="75">
        <v>3007042</v>
      </c>
      <c r="E36" s="75">
        <v>2</v>
      </c>
      <c r="F36" s="75"/>
      <c r="G36" s="74">
        <v>440</v>
      </c>
      <c r="H36" s="74">
        <v>20</v>
      </c>
      <c r="I36" s="75" t="s">
        <v>399</v>
      </c>
      <c r="J36" s="75" t="s">
        <v>128</v>
      </c>
      <c r="K36" s="75" t="b">
        <v>1</v>
      </c>
      <c r="L36" s="71">
        <v>2020</v>
      </c>
      <c r="M36" s="72">
        <v>0.0639</v>
      </c>
      <c r="N36" s="76">
        <v>41275</v>
      </c>
      <c r="O36" s="76">
        <v>41275</v>
      </c>
    </row>
    <row r="37" spans="1:15" ht="14.25">
      <c r="A37" s="73">
        <v>2013</v>
      </c>
      <c r="B37" s="74" t="s">
        <v>387</v>
      </c>
      <c r="C37" s="74" t="s">
        <v>388</v>
      </c>
      <c r="D37" s="75">
        <v>3007042</v>
      </c>
      <c r="E37" s="75">
        <v>2</v>
      </c>
      <c r="F37" s="75"/>
      <c r="G37" s="74">
        <v>330</v>
      </c>
      <c r="H37" s="74">
        <v>13</v>
      </c>
      <c r="I37" s="75"/>
      <c r="J37" s="75" t="s">
        <v>274</v>
      </c>
      <c r="K37" s="75" t="b">
        <v>1</v>
      </c>
      <c r="L37" s="71">
        <v>2016</v>
      </c>
      <c r="M37" s="72">
        <v>3630000</v>
      </c>
      <c r="N37" s="76">
        <v>41275</v>
      </c>
      <c r="O37" s="76">
        <v>41275</v>
      </c>
    </row>
    <row r="38" spans="1:15" ht="14.25">
      <c r="A38" s="73">
        <v>2013</v>
      </c>
      <c r="B38" s="74" t="s">
        <v>387</v>
      </c>
      <c r="C38" s="74" t="s">
        <v>388</v>
      </c>
      <c r="D38" s="75">
        <v>3007042</v>
      </c>
      <c r="E38" s="75">
        <v>2</v>
      </c>
      <c r="F38" s="75"/>
      <c r="G38" s="74">
        <v>530</v>
      </c>
      <c r="H38" s="74">
        <v>26</v>
      </c>
      <c r="I38" s="75" t="s">
        <v>404</v>
      </c>
      <c r="J38" s="75" t="s">
        <v>56</v>
      </c>
      <c r="K38" s="75" t="b">
        <v>1</v>
      </c>
      <c r="L38" s="71">
        <v>2019</v>
      </c>
      <c r="M38" s="72">
        <v>25100000</v>
      </c>
      <c r="N38" s="76">
        <v>41275</v>
      </c>
      <c r="O38" s="76">
        <v>41275</v>
      </c>
    </row>
    <row r="39" spans="1:15" ht="14.25">
      <c r="A39" s="73">
        <v>2013</v>
      </c>
      <c r="B39" s="74" t="s">
        <v>387</v>
      </c>
      <c r="C39" s="74" t="s">
        <v>388</v>
      </c>
      <c r="D39" s="75">
        <v>3007042</v>
      </c>
      <c r="E39" s="75">
        <v>2</v>
      </c>
      <c r="F39" s="75"/>
      <c r="G39" s="74">
        <v>490</v>
      </c>
      <c r="H39" s="74" t="s">
        <v>131</v>
      </c>
      <c r="I39" s="75" t="s">
        <v>389</v>
      </c>
      <c r="J39" s="75" t="s">
        <v>289</v>
      </c>
      <c r="K39" s="75" t="b">
        <v>0</v>
      </c>
      <c r="L39" s="71">
        <v>2021</v>
      </c>
      <c r="M39" s="72">
        <v>393</v>
      </c>
      <c r="N39" s="76">
        <v>41275</v>
      </c>
      <c r="O39" s="76">
        <v>41275</v>
      </c>
    </row>
    <row r="40" spans="1:15" ht="14.25">
      <c r="A40" s="73">
        <v>2013</v>
      </c>
      <c r="B40" s="74" t="s">
        <v>387</v>
      </c>
      <c r="C40" s="74" t="s">
        <v>388</v>
      </c>
      <c r="D40" s="75">
        <v>3007042</v>
      </c>
      <c r="E40" s="75">
        <v>2</v>
      </c>
      <c r="F40" s="75"/>
      <c r="G40" s="74">
        <v>200</v>
      </c>
      <c r="H40" s="74">
        <v>7</v>
      </c>
      <c r="I40" s="75" t="s">
        <v>396</v>
      </c>
      <c r="J40" s="75" t="s">
        <v>11</v>
      </c>
      <c r="K40" s="75" t="b">
        <v>1</v>
      </c>
      <c r="L40" s="71">
        <v>2016</v>
      </c>
      <c r="M40" s="72">
        <v>1100000</v>
      </c>
      <c r="N40" s="76">
        <v>41275</v>
      </c>
      <c r="O40" s="76">
        <v>41275</v>
      </c>
    </row>
    <row r="41" spans="1:15" ht="14.25">
      <c r="A41" s="73">
        <v>2013</v>
      </c>
      <c r="B41" s="74" t="s">
        <v>387</v>
      </c>
      <c r="C41" s="74" t="s">
        <v>388</v>
      </c>
      <c r="D41" s="75">
        <v>3007042</v>
      </c>
      <c r="E41" s="75">
        <v>2</v>
      </c>
      <c r="F41" s="75"/>
      <c r="G41" s="74">
        <v>260</v>
      </c>
      <c r="H41" s="74">
        <v>9</v>
      </c>
      <c r="I41" s="75" t="s">
        <v>405</v>
      </c>
      <c r="J41" s="75" t="s">
        <v>116</v>
      </c>
      <c r="K41" s="75" t="b">
        <v>0</v>
      </c>
      <c r="L41" s="71">
        <v>2013</v>
      </c>
      <c r="M41" s="72">
        <v>1281219</v>
      </c>
      <c r="N41" s="76">
        <v>41275</v>
      </c>
      <c r="O41" s="76">
        <v>41275</v>
      </c>
    </row>
    <row r="42" spans="1:15" ht="14.25">
      <c r="A42" s="73">
        <v>2013</v>
      </c>
      <c r="B42" s="74" t="s">
        <v>387</v>
      </c>
      <c r="C42" s="74" t="s">
        <v>388</v>
      </c>
      <c r="D42" s="75">
        <v>3007042</v>
      </c>
      <c r="E42" s="75">
        <v>2</v>
      </c>
      <c r="F42" s="75"/>
      <c r="G42" s="74">
        <v>240</v>
      </c>
      <c r="H42" s="74" t="s">
        <v>114</v>
      </c>
      <c r="I42" s="75"/>
      <c r="J42" s="75" t="s">
        <v>273</v>
      </c>
      <c r="K42" s="75" t="b">
        <v>1</v>
      </c>
      <c r="L42" s="71">
        <v>2019</v>
      </c>
      <c r="M42" s="72">
        <v>150000</v>
      </c>
      <c r="N42" s="76">
        <v>41275</v>
      </c>
      <c r="O42" s="76">
        <v>41275</v>
      </c>
    </row>
    <row r="43" spans="1:15" ht="14.25">
      <c r="A43" s="73">
        <v>2013</v>
      </c>
      <c r="B43" s="74" t="s">
        <v>387</v>
      </c>
      <c r="C43" s="74" t="s">
        <v>388</v>
      </c>
      <c r="D43" s="75">
        <v>3007042</v>
      </c>
      <c r="E43" s="75">
        <v>2</v>
      </c>
      <c r="F43" s="75"/>
      <c r="G43" s="74">
        <v>460</v>
      </c>
      <c r="H43" s="74">
        <v>21</v>
      </c>
      <c r="I43" s="75" t="s">
        <v>406</v>
      </c>
      <c r="J43" s="75" t="s">
        <v>285</v>
      </c>
      <c r="K43" s="75" t="b">
        <v>1</v>
      </c>
      <c r="L43" s="71">
        <v>2018</v>
      </c>
      <c r="M43" s="72">
        <v>0.0494</v>
      </c>
      <c r="N43" s="76">
        <v>41275</v>
      </c>
      <c r="O43" s="76">
        <v>41275</v>
      </c>
    </row>
    <row r="44" spans="1:15" ht="14.25">
      <c r="A44" s="73">
        <v>2013</v>
      </c>
      <c r="B44" s="74" t="s">
        <v>387</v>
      </c>
      <c r="C44" s="74" t="s">
        <v>388</v>
      </c>
      <c r="D44" s="75">
        <v>3007042</v>
      </c>
      <c r="E44" s="75">
        <v>2</v>
      </c>
      <c r="F44" s="75"/>
      <c r="G44" s="74">
        <v>400</v>
      </c>
      <c r="H44" s="74">
        <v>18</v>
      </c>
      <c r="I44" s="75" t="s">
        <v>402</v>
      </c>
      <c r="J44" s="75" t="s">
        <v>67</v>
      </c>
      <c r="K44" s="75" t="b">
        <v>0</v>
      </c>
      <c r="L44" s="71">
        <v>2016</v>
      </c>
      <c r="M44" s="72">
        <v>0.1511</v>
      </c>
      <c r="N44" s="76">
        <v>41275</v>
      </c>
      <c r="O44" s="76">
        <v>41275</v>
      </c>
    </row>
    <row r="45" spans="1:15" ht="14.25">
      <c r="A45" s="73">
        <v>2013</v>
      </c>
      <c r="B45" s="74" t="s">
        <v>387</v>
      </c>
      <c r="C45" s="74" t="s">
        <v>388</v>
      </c>
      <c r="D45" s="75">
        <v>3007042</v>
      </c>
      <c r="E45" s="75">
        <v>2</v>
      </c>
      <c r="F45" s="75"/>
      <c r="G45" s="74">
        <v>520</v>
      </c>
      <c r="H45" s="74">
        <v>25</v>
      </c>
      <c r="I45" s="75" t="s">
        <v>407</v>
      </c>
      <c r="J45" s="75" t="s">
        <v>48</v>
      </c>
      <c r="K45" s="75" t="b">
        <v>1</v>
      </c>
      <c r="L45" s="71">
        <v>2015</v>
      </c>
      <c r="M45" s="72">
        <v>1100000</v>
      </c>
      <c r="N45" s="76">
        <v>41275</v>
      </c>
      <c r="O45" s="76">
        <v>41275</v>
      </c>
    </row>
    <row r="46" spans="1:15" ht="14.25">
      <c r="A46" s="73">
        <v>2013</v>
      </c>
      <c r="B46" s="74" t="s">
        <v>387</v>
      </c>
      <c r="C46" s="74" t="s">
        <v>388</v>
      </c>
      <c r="D46" s="75">
        <v>3007042</v>
      </c>
      <c r="E46" s="75">
        <v>2</v>
      </c>
      <c r="F46" s="75"/>
      <c r="G46" s="74">
        <v>500</v>
      </c>
      <c r="H46" s="74">
        <v>23</v>
      </c>
      <c r="I46" s="75" t="s">
        <v>408</v>
      </c>
      <c r="J46" s="75" t="s">
        <v>57</v>
      </c>
      <c r="K46" s="75" t="b">
        <v>1</v>
      </c>
      <c r="L46" s="71">
        <v>2017</v>
      </c>
      <c r="M46" s="72">
        <v>24500000</v>
      </c>
      <c r="N46" s="76">
        <v>41275</v>
      </c>
      <c r="O46" s="76">
        <v>41275</v>
      </c>
    </row>
    <row r="47" spans="1:15" ht="14.25">
      <c r="A47" s="73">
        <v>2013</v>
      </c>
      <c r="B47" s="74" t="s">
        <v>387</v>
      </c>
      <c r="C47" s="74" t="s">
        <v>388</v>
      </c>
      <c r="D47" s="75">
        <v>3007042</v>
      </c>
      <c r="E47" s="75">
        <v>2</v>
      </c>
      <c r="F47" s="75"/>
      <c r="G47" s="74">
        <v>491</v>
      </c>
      <c r="H47" s="74" t="s">
        <v>261</v>
      </c>
      <c r="I47" s="75" t="s">
        <v>389</v>
      </c>
      <c r="J47" s="75" t="s">
        <v>290</v>
      </c>
      <c r="K47" s="75" t="b">
        <v>0</v>
      </c>
      <c r="L47" s="71">
        <v>2018</v>
      </c>
      <c r="M47" s="72">
        <v>5</v>
      </c>
      <c r="N47" s="76">
        <v>41275</v>
      </c>
      <c r="O47" s="76">
        <v>41275</v>
      </c>
    </row>
    <row r="48" spans="1:15" ht="14.25">
      <c r="A48" s="73">
        <v>2013</v>
      </c>
      <c r="B48" s="74" t="s">
        <v>387</v>
      </c>
      <c r="C48" s="74" t="s">
        <v>388</v>
      </c>
      <c r="D48" s="75">
        <v>3007042</v>
      </c>
      <c r="E48" s="75">
        <v>2</v>
      </c>
      <c r="F48" s="75"/>
      <c r="G48" s="74">
        <v>290</v>
      </c>
      <c r="H48" s="74" t="s">
        <v>119</v>
      </c>
      <c r="I48" s="75"/>
      <c r="J48" s="75" t="s">
        <v>268</v>
      </c>
      <c r="K48" s="75" t="b">
        <v>0</v>
      </c>
      <c r="L48" s="71">
        <v>2014</v>
      </c>
      <c r="M48" s="72">
        <v>920000</v>
      </c>
      <c r="N48" s="76">
        <v>41275</v>
      </c>
      <c r="O48" s="76">
        <v>41275</v>
      </c>
    </row>
    <row r="49" spans="1:15" ht="14.25">
      <c r="A49" s="73">
        <v>2013</v>
      </c>
      <c r="B49" s="74" t="s">
        <v>387</v>
      </c>
      <c r="C49" s="74" t="s">
        <v>388</v>
      </c>
      <c r="D49" s="75">
        <v>3007042</v>
      </c>
      <c r="E49" s="75">
        <v>2</v>
      </c>
      <c r="F49" s="75"/>
      <c r="G49" s="74">
        <v>451</v>
      </c>
      <c r="H49" s="74" t="s">
        <v>259</v>
      </c>
      <c r="I49" s="75" t="s">
        <v>392</v>
      </c>
      <c r="J49" s="75" t="s">
        <v>284</v>
      </c>
      <c r="K49" s="75" t="b">
        <v>0</v>
      </c>
      <c r="L49" s="71">
        <v>2015</v>
      </c>
      <c r="M49" s="72">
        <v>0.0591</v>
      </c>
      <c r="N49" s="76">
        <v>41275</v>
      </c>
      <c r="O49" s="76">
        <v>41275</v>
      </c>
    </row>
    <row r="50" spans="1:15" ht="14.25">
      <c r="A50" s="73">
        <v>2013</v>
      </c>
      <c r="B50" s="74" t="s">
        <v>387</v>
      </c>
      <c r="C50" s="74" t="s">
        <v>388</v>
      </c>
      <c r="D50" s="75">
        <v>3007042</v>
      </c>
      <c r="E50" s="75">
        <v>2</v>
      </c>
      <c r="F50" s="75"/>
      <c r="G50" s="74">
        <v>520</v>
      </c>
      <c r="H50" s="74">
        <v>25</v>
      </c>
      <c r="I50" s="75" t="s">
        <v>407</v>
      </c>
      <c r="J50" s="75" t="s">
        <v>48</v>
      </c>
      <c r="K50" s="75" t="b">
        <v>1</v>
      </c>
      <c r="L50" s="71">
        <v>2014</v>
      </c>
      <c r="M50" s="72">
        <v>1185390</v>
      </c>
      <c r="N50" s="76">
        <v>41275</v>
      </c>
      <c r="O50" s="76">
        <v>41275</v>
      </c>
    </row>
    <row r="51" spans="1:15" ht="14.25">
      <c r="A51" s="73">
        <v>2013</v>
      </c>
      <c r="B51" s="74" t="s">
        <v>387</v>
      </c>
      <c r="C51" s="74" t="s">
        <v>388</v>
      </c>
      <c r="D51" s="75">
        <v>3007042</v>
      </c>
      <c r="E51" s="75">
        <v>2</v>
      </c>
      <c r="F51" s="75"/>
      <c r="G51" s="74">
        <v>490</v>
      </c>
      <c r="H51" s="74" t="s">
        <v>131</v>
      </c>
      <c r="I51" s="75" t="s">
        <v>389</v>
      </c>
      <c r="J51" s="75" t="s">
        <v>289</v>
      </c>
      <c r="K51" s="75" t="b">
        <v>0</v>
      </c>
      <c r="L51" s="71">
        <v>2016</v>
      </c>
      <c r="M51" s="72">
        <v>20</v>
      </c>
      <c r="N51" s="76">
        <v>41275</v>
      </c>
      <c r="O51" s="76">
        <v>41275</v>
      </c>
    </row>
    <row r="52" spans="1:15" ht="14.25">
      <c r="A52" s="73">
        <v>2013</v>
      </c>
      <c r="B52" s="74" t="s">
        <v>387</v>
      </c>
      <c r="C52" s="74" t="s">
        <v>388</v>
      </c>
      <c r="D52" s="75">
        <v>3007042</v>
      </c>
      <c r="E52" s="75">
        <v>2</v>
      </c>
      <c r="F52" s="75"/>
      <c r="G52" s="74">
        <v>470</v>
      </c>
      <c r="H52" s="74" t="s">
        <v>130</v>
      </c>
      <c r="I52" s="75" t="s">
        <v>391</v>
      </c>
      <c r="J52" s="75" t="s">
        <v>286</v>
      </c>
      <c r="K52" s="75" t="b">
        <v>0</v>
      </c>
      <c r="L52" s="71">
        <v>2020</v>
      </c>
      <c r="M52" s="72">
        <v>291</v>
      </c>
      <c r="N52" s="76">
        <v>41275</v>
      </c>
      <c r="O52" s="76">
        <v>41275</v>
      </c>
    </row>
    <row r="53" spans="1:15" ht="14.25">
      <c r="A53" s="73">
        <v>2013</v>
      </c>
      <c r="B53" s="74" t="s">
        <v>387</v>
      </c>
      <c r="C53" s="74" t="s">
        <v>388</v>
      </c>
      <c r="D53" s="75">
        <v>3007042</v>
      </c>
      <c r="E53" s="75">
        <v>2</v>
      </c>
      <c r="F53" s="75"/>
      <c r="G53" s="74">
        <v>270</v>
      </c>
      <c r="H53" s="74">
        <v>10</v>
      </c>
      <c r="I53" s="75"/>
      <c r="J53" s="75" t="s">
        <v>17</v>
      </c>
      <c r="K53" s="75" t="b">
        <v>0</v>
      </c>
      <c r="L53" s="71">
        <v>2013</v>
      </c>
      <c r="M53" s="72">
        <v>3281219</v>
      </c>
      <c r="N53" s="76">
        <v>41275</v>
      </c>
      <c r="O53" s="76">
        <v>41275</v>
      </c>
    </row>
    <row r="54" spans="1:15" ht="14.25">
      <c r="A54" s="73">
        <v>2013</v>
      </c>
      <c r="B54" s="74" t="s">
        <v>387</v>
      </c>
      <c r="C54" s="74" t="s">
        <v>388</v>
      </c>
      <c r="D54" s="75">
        <v>3007042</v>
      </c>
      <c r="E54" s="75">
        <v>2</v>
      </c>
      <c r="F54" s="75"/>
      <c r="G54" s="74">
        <v>570</v>
      </c>
      <c r="H54" s="74">
        <v>30</v>
      </c>
      <c r="I54" s="75" t="s">
        <v>400</v>
      </c>
      <c r="J54" s="75" t="s">
        <v>292</v>
      </c>
      <c r="K54" s="75" t="b">
        <v>0</v>
      </c>
      <c r="L54" s="71">
        <v>2020</v>
      </c>
      <c r="M54" s="72">
        <v>640000</v>
      </c>
      <c r="N54" s="76">
        <v>41275</v>
      </c>
      <c r="O54" s="76">
        <v>41275</v>
      </c>
    </row>
    <row r="55" spans="1:15" ht="14.25">
      <c r="A55" s="73">
        <v>2013</v>
      </c>
      <c r="B55" s="74" t="s">
        <v>387</v>
      </c>
      <c r="C55" s="74" t="s">
        <v>388</v>
      </c>
      <c r="D55" s="75">
        <v>3007042</v>
      </c>
      <c r="E55" s="75">
        <v>2</v>
      </c>
      <c r="F55" s="75"/>
      <c r="G55" s="74">
        <v>210</v>
      </c>
      <c r="H55" s="74" t="s">
        <v>110</v>
      </c>
      <c r="I55" s="75"/>
      <c r="J55" s="75" t="s">
        <v>271</v>
      </c>
      <c r="K55" s="75" t="b">
        <v>1</v>
      </c>
      <c r="L55" s="71">
        <v>2016</v>
      </c>
      <c r="M55" s="72">
        <v>770000</v>
      </c>
      <c r="N55" s="76">
        <v>41275</v>
      </c>
      <c r="O55" s="76">
        <v>41275</v>
      </c>
    </row>
    <row r="56" spans="1:15" ht="14.25">
      <c r="A56" s="73">
        <v>2013</v>
      </c>
      <c r="B56" s="74" t="s">
        <v>387</v>
      </c>
      <c r="C56" s="74" t="s">
        <v>388</v>
      </c>
      <c r="D56" s="75">
        <v>3007042</v>
      </c>
      <c r="E56" s="75">
        <v>2</v>
      </c>
      <c r="F56" s="75"/>
      <c r="G56" s="74">
        <v>440</v>
      </c>
      <c r="H56" s="74">
        <v>20</v>
      </c>
      <c r="I56" s="75" t="s">
        <v>399</v>
      </c>
      <c r="J56" s="75" t="s">
        <v>128</v>
      </c>
      <c r="K56" s="75" t="b">
        <v>1</v>
      </c>
      <c r="L56" s="71">
        <v>2021</v>
      </c>
      <c r="M56" s="72">
        <v>0.0517</v>
      </c>
      <c r="N56" s="76">
        <v>41275</v>
      </c>
      <c r="O56" s="76">
        <v>41275</v>
      </c>
    </row>
    <row r="57" spans="1:15" ht="14.25">
      <c r="A57" s="73">
        <v>2013</v>
      </c>
      <c r="B57" s="74" t="s">
        <v>387</v>
      </c>
      <c r="C57" s="74" t="s">
        <v>388</v>
      </c>
      <c r="D57" s="75">
        <v>3007042</v>
      </c>
      <c r="E57" s="75">
        <v>2</v>
      </c>
      <c r="F57" s="75"/>
      <c r="G57" s="74">
        <v>520</v>
      </c>
      <c r="H57" s="74">
        <v>25</v>
      </c>
      <c r="I57" s="75" t="s">
        <v>407</v>
      </c>
      <c r="J57" s="75" t="s">
        <v>48</v>
      </c>
      <c r="K57" s="75" t="b">
        <v>1</v>
      </c>
      <c r="L57" s="71">
        <v>2016</v>
      </c>
      <c r="M57" s="72">
        <v>1100000</v>
      </c>
      <c r="N57" s="76">
        <v>41275</v>
      </c>
      <c r="O57" s="76">
        <v>41275</v>
      </c>
    </row>
    <row r="58" spans="1:15" ht="14.25">
      <c r="A58" s="73">
        <v>2013</v>
      </c>
      <c r="B58" s="74" t="s">
        <v>387</v>
      </c>
      <c r="C58" s="74" t="s">
        <v>388</v>
      </c>
      <c r="D58" s="75">
        <v>3007042</v>
      </c>
      <c r="E58" s="75">
        <v>2</v>
      </c>
      <c r="F58" s="75"/>
      <c r="G58" s="74">
        <v>560</v>
      </c>
      <c r="H58" s="74">
        <v>29</v>
      </c>
      <c r="I58" s="75" t="s">
        <v>403</v>
      </c>
      <c r="J58" s="75" t="s">
        <v>49</v>
      </c>
      <c r="K58" s="75" t="b">
        <v>0</v>
      </c>
      <c r="L58" s="71">
        <v>2013</v>
      </c>
      <c r="M58" s="72">
        <v>2025000</v>
      </c>
      <c r="N58" s="76">
        <v>41275</v>
      </c>
      <c r="O58" s="76">
        <v>41275</v>
      </c>
    </row>
    <row r="59" spans="1:15" ht="14.25">
      <c r="A59" s="73">
        <v>2013</v>
      </c>
      <c r="B59" s="74" t="s">
        <v>387</v>
      </c>
      <c r="C59" s="74" t="s">
        <v>388</v>
      </c>
      <c r="D59" s="75">
        <v>3007042</v>
      </c>
      <c r="E59" s="75">
        <v>2</v>
      </c>
      <c r="F59" s="75"/>
      <c r="G59" s="74">
        <v>2</v>
      </c>
      <c r="H59" s="74" t="s">
        <v>90</v>
      </c>
      <c r="I59" s="75"/>
      <c r="J59" s="75" t="s">
        <v>263</v>
      </c>
      <c r="K59" s="75" t="b">
        <v>1</v>
      </c>
      <c r="L59" s="71">
        <v>2019</v>
      </c>
      <c r="M59" s="72">
        <v>25100000</v>
      </c>
      <c r="N59" s="76">
        <v>41275</v>
      </c>
      <c r="O59" s="76">
        <v>41275</v>
      </c>
    </row>
    <row r="60" spans="1:15" ht="14.25">
      <c r="A60" s="73">
        <v>2013</v>
      </c>
      <c r="B60" s="74" t="s">
        <v>387</v>
      </c>
      <c r="C60" s="74" t="s">
        <v>388</v>
      </c>
      <c r="D60" s="75">
        <v>3007042</v>
      </c>
      <c r="E60" s="75">
        <v>2</v>
      </c>
      <c r="F60" s="75"/>
      <c r="G60" s="74">
        <v>450</v>
      </c>
      <c r="H60" s="74" t="s">
        <v>129</v>
      </c>
      <c r="I60" s="75" t="s">
        <v>392</v>
      </c>
      <c r="J60" s="75" t="s">
        <v>52</v>
      </c>
      <c r="K60" s="75" t="b">
        <v>0</v>
      </c>
      <c r="L60" s="71">
        <v>2015</v>
      </c>
      <c r="M60" s="72">
        <v>0.0515</v>
      </c>
      <c r="N60" s="76">
        <v>41275</v>
      </c>
      <c r="O60" s="76">
        <v>41275</v>
      </c>
    </row>
    <row r="61" spans="1:15" ht="14.25">
      <c r="A61" s="73">
        <v>2013</v>
      </c>
      <c r="B61" s="74" t="s">
        <v>387</v>
      </c>
      <c r="C61" s="74" t="s">
        <v>388</v>
      </c>
      <c r="D61" s="75">
        <v>3007042</v>
      </c>
      <c r="E61" s="75">
        <v>2</v>
      </c>
      <c r="F61" s="75"/>
      <c r="G61" s="74">
        <v>500</v>
      </c>
      <c r="H61" s="74">
        <v>23</v>
      </c>
      <c r="I61" s="75" t="s">
        <v>408</v>
      </c>
      <c r="J61" s="75" t="s">
        <v>57</v>
      </c>
      <c r="K61" s="75" t="b">
        <v>1</v>
      </c>
      <c r="L61" s="71">
        <v>2013</v>
      </c>
      <c r="M61" s="72">
        <v>22273007</v>
      </c>
      <c r="N61" s="76">
        <v>41275</v>
      </c>
      <c r="O61" s="76">
        <v>41275</v>
      </c>
    </row>
    <row r="62" spans="1:15" ht="14.25">
      <c r="A62" s="73">
        <v>2013</v>
      </c>
      <c r="B62" s="74" t="s">
        <v>387</v>
      </c>
      <c r="C62" s="74" t="s">
        <v>388</v>
      </c>
      <c r="D62" s="75">
        <v>3007042</v>
      </c>
      <c r="E62" s="75">
        <v>2</v>
      </c>
      <c r="F62" s="75"/>
      <c r="G62" s="74">
        <v>420</v>
      </c>
      <c r="H62" s="74">
        <v>19</v>
      </c>
      <c r="I62" s="75" t="s">
        <v>401</v>
      </c>
      <c r="J62" s="75" t="s">
        <v>70</v>
      </c>
      <c r="K62" s="75" t="b">
        <v>1</v>
      </c>
      <c r="L62" s="71">
        <v>2021</v>
      </c>
      <c r="M62" s="72">
        <v>0.0213</v>
      </c>
      <c r="N62" s="76">
        <v>41275</v>
      </c>
      <c r="O62" s="76">
        <v>41275</v>
      </c>
    </row>
    <row r="63" spans="1:15" ht="14.25">
      <c r="A63" s="73">
        <v>2013</v>
      </c>
      <c r="B63" s="74" t="s">
        <v>387</v>
      </c>
      <c r="C63" s="74" t="s">
        <v>388</v>
      </c>
      <c r="D63" s="75">
        <v>3007042</v>
      </c>
      <c r="E63" s="75">
        <v>2</v>
      </c>
      <c r="F63" s="75"/>
      <c r="G63" s="74">
        <v>410</v>
      </c>
      <c r="H63" s="74" t="s">
        <v>126</v>
      </c>
      <c r="I63" s="75" t="s">
        <v>395</v>
      </c>
      <c r="J63" s="75" t="s">
        <v>69</v>
      </c>
      <c r="K63" s="75" t="b">
        <v>0</v>
      </c>
      <c r="L63" s="71">
        <v>2018</v>
      </c>
      <c r="M63" s="72">
        <v>0.0718</v>
      </c>
      <c r="N63" s="76">
        <v>41275</v>
      </c>
      <c r="O63" s="76">
        <v>41275</v>
      </c>
    </row>
    <row r="64" spans="1:15" ht="14.25">
      <c r="A64" s="73">
        <v>2013</v>
      </c>
      <c r="B64" s="74" t="s">
        <v>387</v>
      </c>
      <c r="C64" s="74" t="s">
        <v>388</v>
      </c>
      <c r="D64" s="75">
        <v>3007042</v>
      </c>
      <c r="E64" s="75">
        <v>2</v>
      </c>
      <c r="F64" s="75"/>
      <c r="G64" s="74">
        <v>15</v>
      </c>
      <c r="H64" s="74" t="s">
        <v>102</v>
      </c>
      <c r="I64" s="75"/>
      <c r="J64" s="75" t="s">
        <v>103</v>
      </c>
      <c r="K64" s="75" t="b">
        <v>0</v>
      </c>
      <c r="L64" s="71">
        <v>2013</v>
      </c>
      <c r="M64" s="72">
        <v>180044</v>
      </c>
      <c r="N64" s="76">
        <v>41275</v>
      </c>
      <c r="O64" s="76">
        <v>41275</v>
      </c>
    </row>
    <row r="65" spans="1:15" ht="14.25">
      <c r="A65" s="73">
        <v>2013</v>
      </c>
      <c r="B65" s="74" t="s">
        <v>387</v>
      </c>
      <c r="C65" s="74" t="s">
        <v>388</v>
      </c>
      <c r="D65" s="75">
        <v>3007042</v>
      </c>
      <c r="E65" s="75">
        <v>2</v>
      </c>
      <c r="F65" s="75"/>
      <c r="G65" s="74">
        <v>530</v>
      </c>
      <c r="H65" s="74">
        <v>26</v>
      </c>
      <c r="I65" s="75" t="s">
        <v>404</v>
      </c>
      <c r="J65" s="75" t="s">
        <v>56</v>
      </c>
      <c r="K65" s="75" t="b">
        <v>1</v>
      </c>
      <c r="L65" s="71">
        <v>2020</v>
      </c>
      <c r="M65" s="72">
        <v>25360000</v>
      </c>
      <c r="N65" s="76">
        <v>41275</v>
      </c>
      <c r="O65" s="76">
        <v>41275</v>
      </c>
    </row>
    <row r="66" spans="1:15" ht="14.25">
      <c r="A66" s="73">
        <v>2013</v>
      </c>
      <c r="B66" s="74" t="s">
        <v>387</v>
      </c>
      <c r="C66" s="74" t="s">
        <v>388</v>
      </c>
      <c r="D66" s="75">
        <v>3007042</v>
      </c>
      <c r="E66" s="75">
        <v>2</v>
      </c>
      <c r="F66" s="75"/>
      <c r="G66" s="74">
        <v>460</v>
      </c>
      <c r="H66" s="74">
        <v>21</v>
      </c>
      <c r="I66" s="75" t="s">
        <v>406</v>
      </c>
      <c r="J66" s="75" t="s">
        <v>285</v>
      </c>
      <c r="K66" s="75" t="b">
        <v>1</v>
      </c>
      <c r="L66" s="71">
        <v>2021</v>
      </c>
      <c r="M66" s="72">
        <v>0.0213</v>
      </c>
      <c r="N66" s="76">
        <v>41275</v>
      </c>
      <c r="O66" s="76">
        <v>41275</v>
      </c>
    </row>
    <row r="67" spans="1:15" ht="14.25">
      <c r="A67" s="73">
        <v>2013</v>
      </c>
      <c r="B67" s="74" t="s">
        <v>387</v>
      </c>
      <c r="C67" s="74" t="s">
        <v>388</v>
      </c>
      <c r="D67" s="75">
        <v>3007042</v>
      </c>
      <c r="E67" s="75">
        <v>2</v>
      </c>
      <c r="F67" s="75"/>
      <c r="G67" s="74">
        <v>200</v>
      </c>
      <c r="H67" s="74">
        <v>7</v>
      </c>
      <c r="I67" s="75" t="s">
        <v>396</v>
      </c>
      <c r="J67" s="75" t="s">
        <v>11</v>
      </c>
      <c r="K67" s="75" t="b">
        <v>1</v>
      </c>
      <c r="L67" s="71">
        <v>2021</v>
      </c>
      <c r="M67" s="72">
        <v>540000</v>
      </c>
      <c r="N67" s="76">
        <v>41275</v>
      </c>
      <c r="O67" s="76">
        <v>41275</v>
      </c>
    </row>
    <row r="68" spans="1:15" ht="14.25">
      <c r="A68" s="73">
        <v>2013</v>
      </c>
      <c r="B68" s="74" t="s">
        <v>387</v>
      </c>
      <c r="C68" s="74" t="s">
        <v>388</v>
      </c>
      <c r="D68" s="75">
        <v>3007042</v>
      </c>
      <c r="E68" s="75">
        <v>2</v>
      </c>
      <c r="F68" s="75"/>
      <c r="G68" s="74">
        <v>8</v>
      </c>
      <c r="H68" s="74" t="s">
        <v>94</v>
      </c>
      <c r="I68" s="75"/>
      <c r="J68" s="75" t="s">
        <v>245</v>
      </c>
      <c r="K68" s="75" t="b">
        <v>1</v>
      </c>
      <c r="L68" s="71">
        <v>2014</v>
      </c>
      <c r="M68" s="72">
        <v>634610</v>
      </c>
      <c r="N68" s="76">
        <v>41275</v>
      </c>
      <c r="O68" s="76">
        <v>41275</v>
      </c>
    </row>
    <row r="69" spans="1:15" ht="14.25">
      <c r="A69" s="73">
        <v>2013</v>
      </c>
      <c r="B69" s="74" t="s">
        <v>387</v>
      </c>
      <c r="C69" s="74" t="s">
        <v>388</v>
      </c>
      <c r="D69" s="75">
        <v>3007042</v>
      </c>
      <c r="E69" s="75">
        <v>2</v>
      </c>
      <c r="F69" s="75"/>
      <c r="G69" s="74">
        <v>510</v>
      </c>
      <c r="H69" s="74">
        <v>24</v>
      </c>
      <c r="I69" s="75" t="s">
        <v>409</v>
      </c>
      <c r="J69" s="75" t="s">
        <v>291</v>
      </c>
      <c r="K69" s="75" t="b">
        <v>1</v>
      </c>
      <c r="L69" s="71">
        <v>2021</v>
      </c>
      <c r="M69" s="72">
        <v>24050000</v>
      </c>
      <c r="N69" s="76">
        <v>41275</v>
      </c>
      <c r="O69" s="76">
        <v>41275</v>
      </c>
    </row>
    <row r="70" spans="1:15" ht="14.25">
      <c r="A70" s="73">
        <v>2013</v>
      </c>
      <c r="B70" s="74" t="s">
        <v>387</v>
      </c>
      <c r="C70" s="74" t="s">
        <v>388</v>
      </c>
      <c r="D70" s="75">
        <v>3007042</v>
      </c>
      <c r="E70" s="75">
        <v>2</v>
      </c>
      <c r="F70" s="75"/>
      <c r="G70" s="74">
        <v>540</v>
      </c>
      <c r="H70" s="74">
        <v>27</v>
      </c>
      <c r="I70" s="75" t="s">
        <v>390</v>
      </c>
      <c r="J70" s="75" t="s">
        <v>45</v>
      </c>
      <c r="K70" s="75" t="b">
        <v>0</v>
      </c>
      <c r="L70" s="71">
        <v>2019</v>
      </c>
      <c r="M70" s="72">
        <v>24450000</v>
      </c>
      <c r="N70" s="76">
        <v>41275</v>
      </c>
      <c r="O70" s="76">
        <v>41275</v>
      </c>
    </row>
    <row r="71" spans="1:15" ht="14.25">
      <c r="A71" s="73">
        <v>2013</v>
      </c>
      <c r="B71" s="74" t="s">
        <v>387</v>
      </c>
      <c r="C71" s="74" t="s">
        <v>388</v>
      </c>
      <c r="D71" s="75">
        <v>3007042</v>
      </c>
      <c r="E71" s="75">
        <v>2</v>
      </c>
      <c r="F71" s="75"/>
      <c r="G71" s="74">
        <v>9</v>
      </c>
      <c r="H71" s="74">
        <v>2</v>
      </c>
      <c r="I71" s="75"/>
      <c r="J71" s="75" t="s">
        <v>3</v>
      </c>
      <c r="K71" s="75" t="b">
        <v>1</v>
      </c>
      <c r="L71" s="71">
        <v>2019</v>
      </c>
      <c r="M71" s="72">
        <v>23410000</v>
      </c>
      <c r="N71" s="76">
        <v>41275</v>
      </c>
      <c r="O71" s="76">
        <v>41275</v>
      </c>
    </row>
    <row r="72" spans="1:15" ht="14.25">
      <c r="A72" s="73">
        <v>2013</v>
      </c>
      <c r="B72" s="74" t="s">
        <v>387</v>
      </c>
      <c r="C72" s="74" t="s">
        <v>388</v>
      </c>
      <c r="D72" s="75">
        <v>3007042</v>
      </c>
      <c r="E72" s="75">
        <v>2</v>
      </c>
      <c r="F72" s="75"/>
      <c r="G72" s="74">
        <v>260</v>
      </c>
      <c r="H72" s="74">
        <v>9</v>
      </c>
      <c r="I72" s="75" t="s">
        <v>405</v>
      </c>
      <c r="J72" s="75" t="s">
        <v>116</v>
      </c>
      <c r="K72" s="75" t="b">
        <v>0</v>
      </c>
      <c r="L72" s="71">
        <v>2019</v>
      </c>
      <c r="M72" s="72">
        <v>890000</v>
      </c>
      <c r="N72" s="76">
        <v>41275</v>
      </c>
      <c r="O72" s="76">
        <v>41275</v>
      </c>
    </row>
    <row r="73" spans="1:15" ht="14.25">
      <c r="A73" s="73">
        <v>2013</v>
      </c>
      <c r="B73" s="74" t="s">
        <v>387</v>
      </c>
      <c r="C73" s="74" t="s">
        <v>388</v>
      </c>
      <c r="D73" s="75">
        <v>3007042</v>
      </c>
      <c r="E73" s="75">
        <v>2</v>
      </c>
      <c r="F73" s="75"/>
      <c r="G73" s="74">
        <v>480</v>
      </c>
      <c r="H73" s="74">
        <v>22</v>
      </c>
      <c r="I73" s="75" t="s">
        <v>393</v>
      </c>
      <c r="J73" s="75" t="s">
        <v>288</v>
      </c>
      <c r="K73" s="75" t="b">
        <v>0</v>
      </c>
      <c r="L73" s="71">
        <v>2014</v>
      </c>
      <c r="M73" s="72">
        <v>0.0464</v>
      </c>
      <c r="N73" s="76">
        <v>41275</v>
      </c>
      <c r="O73" s="76">
        <v>41275</v>
      </c>
    </row>
    <row r="74" spans="1:15" ht="14.25">
      <c r="A74" s="73">
        <v>2013</v>
      </c>
      <c r="B74" s="74" t="s">
        <v>387</v>
      </c>
      <c r="C74" s="74" t="s">
        <v>388</v>
      </c>
      <c r="D74" s="75">
        <v>3007042</v>
      </c>
      <c r="E74" s="75">
        <v>2</v>
      </c>
      <c r="F74" s="75"/>
      <c r="G74" s="74">
        <v>190</v>
      </c>
      <c r="H74" s="74">
        <v>6</v>
      </c>
      <c r="I74" s="75" t="s">
        <v>394</v>
      </c>
      <c r="J74" s="75" t="s">
        <v>109</v>
      </c>
      <c r="K74" s="75" t="b">
        <v>0</v>
      </c>
      <c r="L74" s="71">
        <v>2021</v>
      </c>
      <c r="M74" s="72">
        <v>1360000</v>
      </c>
      <c r="N74" s="76">
        <v>41275</v>
      </c>
      <c r="O74" s="76">
        <v>41275</v>
      </c>
    </row>
    <row r="75" spans="1:15" ht="14.25">
      <c r="A75" s="73">
        <v>2013</v>
      </c>
      <c r="B75" s="74" t="s">
        <v>387</v>
      </c>
      <c r="C75" s="74" t="s">
        <v>388</v>
      </c>
      <c r="D75" s="75">
        <v>3007042</v>
      </c>
      <c r="E75" s="75">
        <v>2</v>
      </c>
      <c r="F75" s="75"/>
      <c r="G75" s="74">
        <v>471</v>
      </c>
      <c r="H75" s="74" t="s">
        <v>260</v>
      </c>
      <c r="I75" s="75" t="s">
        <v>391</v>
      </c>
      <c r="J75" s="75" t="s">
        <v>287</v>
      </c>
      <c r="K75" s="75" t="b">
        <v>0</v>
      </c>
      <c r="L75" s="71">
        <v>2017</v>
      </c>
      <c r="M75" s="72">
        <v>18</v>
      </c>
      <c r="N75" s="76">
        <v>41275</v>
      </c>
      <c r="O75" s="76">
        <v>41275</v>
      </c>
    </row>
    <row r="76" spans="1:15" ht="14.25">
      <c r="A76" s="73">
        <v>2013</v>
      </c>
      <c r="B76" s="74" t="s">
        <v>387</v>
      </c>
      <c r="C76" s="74" t="s">
        <v>388</v>
      </c>
      <c r="D76" s="75">
        <v>3007042</v>
      </c>
      <c r="E76" s="75">
        <v>2</v>
      </c>
      <c r="F76" s="75"/>
      <c r="G76" s="74">
        <v>330</v>
      </c>
      <c r="H76" s="74">
        <v>13</v>
      </c>
      <c r="I76" s="75"/>
      <c r="J76" s="75" t="s">
        <v>274</v>
      </c>
      <c r="K76" s="75" t="b">
        <v>1</v>
      </c>
      <c r="L76" s="71">
        <v>2019</v>
      </c>
      <c r="M76" s="72">
        <v>1130000</v>
      </c>
      <c r="N76" s="76">
        <v>41275</v>
      </c>
      <c r="O76" s="76">
        <v>41275</v>
      </c>
    </row>
    <row r="77" spans="1:15" ht="14.25">
      <c r="A77" s="73">
        <v>2013</v>
      </c>
      <c r="B77" s="74" t="s">
        <v>387</v>
      </c>
      <c r="C77" s="74" t="s">
        <v>388</v>
      </c>
      <c r="D77" s="75">
        <v>3007042</v>
      </c>
      <c r="E77" s="75">
        <v>2</v>
      </c>
      <c r="F77" s="75"/>
      <c r="G77" s="74">
        <v>510</v>
      </c>
      <c r="H77" s="74">
        <v>24</v>
      </c>
      <c r="I77" s="75" t="s">
        <v>409</v>
      </c>
      <c r="J77" s="75" t="s">
        <v>291</v>
      </c>
      <c r="K77" s="75" t="b">
        <v>1</v>
      </c>
      <c r="L77" s="71">
        <v>2019</v>
      </c>
      <c r="M77" s="72">
        <v>23560000</v>
      </c>
      <c r="N77" s="76">
        <v>41275</v>
      </c>
      <c r="O77" s="76">
        <v>41275</v>
      </c>
    </row>
    <row r="78" spans="1:15" ht="14.25">
      <c r="A78" s="73">
        <v>2013</v>
      </c>
      <c r="B78" s="74" t="s">
        <v>387</v>
      </c>
      <c r="C78" s="74" t="s">
        <v>388</v>
      </c>
      <c r="D78" s="75">
        <v>3007042</v>
      </c>
      <c r="E78" s="75">
        <v>2</v>
      </c>
      <c r="F78" s="75"/>
      <c r="G78" s="74">
        <v>510</v>
      </c>
      <c r="H78" s="74">
        <v>24</v>
      </c>
      <c r="I78" s="75" t="s">
        <v>409</v>
      </c>
      <c r="J78" s="75" t="s">
        <v>291</v>
      </c>
      <c r="K78" s="75" t="b">
        <v>1</v>
      </c>
      <c r="L78" s="71">
        <v>2014</v>
      </c>
      <c r="M78" s="72">
        <v>21885610</v>
      </c>
      <c r="N78" s="76">
        <v>41275</v>
      </c>
      <c r="O78" s="76">
        <v>41275</v>
      </c>
    </row>
    <row r="79" spans="1:15" ht="14.25">
      <c r="A79" s="73">
        <v>2013</v>
      </c>
      <c r="B79" s="74" t="s">
        <v>387</v>
      </c>
      <c r="C79" s="74" t="s">
        <v>388</v>
      </c>
      <c r="D79" s="75">
        <v>3007042</v>
      </c>
      <c r="E79" s="75">
        <v>2</v>
      </c>
      <c r="F79" s="75"/>
      <c r="G79" s="74">
        <v>430</v>
      </c>
      <c r="H79" s="74" t="s">
        <v>127</v>
      </c>
      <c r="I79" s="75" t="s">
        <v>397</v>
      </c>
      <c r="J79" s="75" t="s">
        <v>72</v>
      </c>
      <c r="K79" s="75" t="b">
        <v>0</v>
      </c>
      <c r="L79" s="71">
        <v>2020</v>
      </c>
      <c r="M79" s="72">
        <v>0.0292</v>
      </c>
      <c r="N79" s="76">
        <v>41275</v>
      </c>
      <c r="O79" s="76">
        <v>41275</v>
      </c>
    </row>
    <row r="80" spans="1:15" ht="14.25">
      <c r="A80" s="73">
        <v>2013</v>
      </c>
      <c r="B80" s="74" t="s">
        <v>387</v>
      </c>
      <c r="C80" s="74" t="s">
        <v>388</v>
      </c>
      <c r="D80" s="75">
        <v>3007042</v>
      </c>
      <c r="E80" s="75">
        <v>2</v>
      </c>
      <c r="F80" s="75"/>
      <c r="G80" s="74">
        <v>550</v>
      </c>
      <c r="H80" s="74">
        <v>28</v>
      </c>
      <c r="I80" s="75" t="s">
        <v>398</v>
      </c>
      <c r="J80" s="75" t="s">
        <v>47</v>
      </c>
      <c r="K80" s="75" t="b">
        <v>0</v>
      </c>
      <c r="L80" s="71">
        <v>2014</v>
      </c>
      <c r="M80" s="72">
        <v>-300000</v>
      </c>
      <c r="N80" s="76">
        <v>41275</v>
      </c>
      <c r="O80" s="76">
        <v>41275</v>
      </c>
    </row>
    <row r="81" spans="1:15" ht="14.25">
      <c r="A81" s="73">
        <v>2013</v>
      </c>
      <c r="B81" s="74" t="s">
        <v>387</v>
      </c>
      <c r="C81" s="74" t="s">
        <v>388</v>
      </c>
      <c r="D81" s="75">
        <v>3007042</v>
      </c>
      <c r="E81" s="75">
        <v>2</v>
      </c>
      <c r="F81" s="75"/>
      <c r="G81" s="74">
        <v>270</v>
      </c>
      <c r="H81" s="74">
        <v>10</v>
      </c>
      <c r="I81" s="75"/>
      <c r="J81" s="75" t="s">
        <v>17</v>
      </c>
      <c r="K81" s="75" t="b">
        <v>0</v>
      </c>
      <c r="L81" s="71">
        <v>2016</v>
      </c>
      <c r="M81" s="72">
        <v>330000</v>
      </c>
      <c r="N81" s="76">
        <v>41275</v>
      </c>
      <c r="O81" s="76">
        <v>41275</v>
      </c>
    </row>
    <row r="82" spans="1:15" ht="14.25">
      <c r="A82" s="73">
        <v>2013</v>
      </c>
      <c r="B82" s="74" t="s">
        <v>387</v>
      </c>
      <c r="C82" s="74" t="s">
        <v>388</v>
      </c>
      <c r="D82" s="75">
        <v>3007042</v>
      </c>
      <c r="E82" s="75">
        <v>2</v>
      </c>
      <c r="F82" s="75"/>
      <c r="G82" s="74">
        <v>180</v>
      </c>
      <c r="H82" s="74">
        <v>5</v>
      </c>
      <c r="I82" s="75"/>
      <c r="J82" s="75" t="s">
        <v>107</v>
      </c>
      <c r="K82" s="75" t="b">
        <v>0</v>
      </c>
      <c r="L82" s="71">
        <v>2013</v>
      </c>
      <c r="M82" s="72">
        <v>25000</v>
      </c>
      <c r="N82" s="76">
        <v>41275</v>
      </c>
      <c r="O82" s="76">
        <v>41275</v>
      </c>
    </row>
    <row r="83" spans="1:15" ht="14.25">
      <c r="A83" s="73">
        <v>2013</v>
      </c>
      <c r="B83" s="74" t="s">
        <v>387</v>
      </c>
      <c r="C83" s="74" t="s">
        <v>388</v>
      </c>
      <c r="D83" s="75">
        <v>3007042</v>
      </c>
      <c r="E83" s="75">
        <v>2</v>
      </c>
      <c r="F83" s="75"/>
      <c r="G83" s="74">
        <v>5</v>
      </c>
      <c r="H83" s="74" t="s">
        <v>92</v>
      </c>
      <c r="I83" s="75"/>
      <c r="J83" s="75" t="s">
        <v>265</v>
      </c>
      <c r="K83" s="75" t="b">
        <v>1</v>
      </c>
      <c r="L83" s="71">
        <v>2013</v>
      </c>
      <c r="M83" s="72">
        <v>993738</v>
      </c>
      <c r="N83" s="76">
        <v>41275</v>
      </c>
      <c r="O83" s="76">
        <v>41275</v>
      </c>
    </row>
    <row r="84" spans="1:15" ht="14.25">
      <c r="A84" s="73">
        <v>2013</v>
      </c>
      <c r="B84" s="74" t="s">
        <v>387</v>
      </c>
      <c r="C84" s="74" t="s">
        <v>388</v>
      </c>
      <c r="D84" s="75">
        <v>3007042</v>
      </c>
      <c r="E84" s="75">
        <v>2</v>
      </c>
      <c r="F84" s="75"/>
      <c r="G84" s="74">
        <v>230</v>
      </c>
      <c r="H84" s="74" t="s">
        <v>113</v>
      </c>
      <c r="I84" s="75"/>
      <c r="J84" s="75" t="s">
        <v>272</v>
      </c>
      <c r="K84" s="75" t="b">
        <v>1</v>
      </c>
      <c r="L84" s="71">
        <v>2020</v>
      </c>
      <c r="M84" s="72">
        <v>100000</v>
      </c>
      <c r="N84" s="76">
        <v>41275</v>
      </c>
      <c r="O84" s="76">
        <v>41275</v>
      </c>
    </row>
    <row r="85" spans="1:15" ht="14.25">
      <c r="A85" s="73">
        <v>2013</v>
      </c>
      <c r="B85" s="74" t="s">
        <v>387</v>
      </c>
      <c r="C85" s="74" t="s">
        <v>388</v>
      </c>
      <c r="D85" s="75">
        <v>3007042</v>
      </c>
      <c r="E85" s="75">
        <v>2</v>
      </c>
      <c r="F85" s="75"/>
      <c r="G85" s="74">
        <v>430</v>
      </c>
      <c r="H85" s="74" t="s">
        <v>127</v>
      </c>
      <c r="I85" s="75" t="s">
        <v>397</v>
      </c>
      <c r="J85" s="75" t="s">
        <v>72</v>
      </c>
      <c r="K85" s="75" t="b">
        <v>0</v>
      </c>
      <c r="L85" s="71">
        <v>2014</v>
      </c>
      <c r="M85" s="72">
        <v>0.0464</v>
      </c>
      <c r="N85" s="76">
        <v>41275</v>
      </c>
      <c r="O85" s="76">
        <v>41275</v>
      </c>
    </row>
    <row r="86" spans="1:15" ht="14.25">
      <c r="A86" s="73">
        <v>2013</v>
      </c>
      <c r="B86" s="74" t="s">
        <v>387</v>
      </c>
      <c r="C86" s="74" t="s">
        <v>388</v>
      </c>
      <c r="D86" s="75">
        <v>3007042</v>
      </c>
      <c r="E86" s="75">
        <v>2</v>
      </c>
      <c r="F86" s="75"/>
      <c r="G86" s="74">
        <v>491</v>
      </c>
      <c r="H86" s="74" t="s">
        <v>261</v>
      </c>
      <c r="I86" s="75" t="s">
        <v>389</v>
      </c>
      <c r="J86" s="75" t="s">
        <v>290</v>
      </c>
      <c r="K86" s="75" t="b">
        <v>0</v>
      </c>
      <c r="L86" s="71">
        <v>2017</v>
      </c>
      <c r="M86" s="72">
        <v>18</v>
      </c>
      <c r="N86" s="76">
        <v>41275</v>
      </c>
      <c r="O86" s="76">
        <v>41275</v>
      </c>
    </row>
    <row r="87" spans="1:15" ht="14.25">
      <c r="A87" s="73">
        <v>2013</v>
      </c>
      <c r="B87" s="74" t="s">
        <v>387</v>
      </c>
      <c r="C87" s="74" t="s">
        <v>388</v>
      </c>
      <c r="D87" s="75">
        <v>3007042</v>
      </c>
      <c r="E87" s="75">
        <v>2</v>
      </c>
      <c r="F87" s="75"/>
      <c r="G87" s="74">
        <v>490</v>
      </c>
      <c r="H87" s="74" t="s">
        <v>131</v>
      </c>
      <c r="I87" s="75" t="s">
        <v>389</v>
      </c>
      <c r="J87" s="75" t="s">
        <v>289</v>
      </c>
      <c r="K87" s="75" t="b">
        <v>0</v>
      </c>
      <c r="L87" s="71">
        <v>2014</v>
      </c>
      <c r="M87" s="72">
        <v>269</v>
      </c>
      <c r="N87" s="76">
        <v>41275</v>
      </c>
      <c r="O87" s="76">
        <v>41275</v>
      </c>
    </row>
    <row r="88" spans="1:15" ht="14.25">
      <c r="A88" s="73">
        <v>2013</v>
      </c>
      <c r="B88" s="74" t="s">
        <v>387</v>
      </c>
      <c r="C88" s="74" t="s">
        <v>388</v>
      </c>
      <c r="D88" s="75">
        <v>3007042</v>
      </c>
      <c r="E88" s="75">
        <v>2</v>
      </c>
      <c r="F88" s="75"/>
      <c r="G88" s="74">
        <v>480</v>
      </c>
      <c r="H88" s="74">
        <v>22</v>
      </c>
      <c r="I88" s="75" t="s">
        <v>393</v>
      </c>
      <c r="J88" s="75" t="s">
        <v>288</v>
      </c>
      <c r="K88" s="75" t="b">
        <v>0</v>
      </c>
      <c r="L88" s="71">
        <v>2021</v>
      </c>
      <c r="M88" s="72">
        <v>0.0213</v>
      </c>
      <c r="N88" s="76">
        <v>41275</v>
      </c>
      <c r="O88" s="76">
        <v>41275</v>
      </c>
    </row>
    <row r="89" spans="1:15" ht="14.25">
      <c r="A89" s="73">
        <v>2013</v>
      </c>
      <c r="B89" s="74" t="s">
        <v>387</v>
      </c>
      <c r="C89" s="74" t="s">
        <v>388</v>
      </c>
      <c r="D89" s="75">
        <v>3007042</v>
      </c>
      <c r="E89" s="75">
        <v>2</v>
      </c>
      <c r="F89" s="75"/>
      <c r="G89" s="74">
        <v>240</v>
      </c>
      <c r="H89" s="74" t="s">
        <v>114</v>
      </c>
      <c r="I89" s="75"/>
      <c r="J89" s="75" t="s">
        <v>273</v>
      </c>
      <c r="K89" s="75" t="b">
        <v>1</v>
      </c>
      <c r="L89" s="71">
        <v>2015</v>
      </c>
      <c r="M89" s="72">
        <v>375000</v>
      </c>
      <c r="N89" s="76">
        <v>41275</v>
      </c>
      <c r="O89" s="76">
        <v>41275</v>
      </c>
    </row>
    <row r="90" spans="1:15" ht="14.25">
      <c r="A90" s="73">
        <v>2013</v>
      </c>
      <c r="B90" s="74" t="s">
        <v>387</v>
      </c>
      <c r="C90" s="74" t="s">
        <v>388</v>
      </c>
      <c r="D90" s="75">
        <v>3007042</v>
      </c>
      <c r="E90" s="75">
        <v>2</v>
      </c>
      <c r="F90" s="75"/>
      <c r="G90" s="74">
        <v>460</v>
      </c>
      <c r="H90" s="74">
        <v>21</v>
      </c>
      <c r="I90" s="75" t="s">
        <v>406</v>
      </c>
      <c r="J90" s="75" t="s">
        <v>285</v>
      </c>
      <c r="K90" s="75" t="b">
        <v>1</v>
      </c>
      <c r="L90" s="71">
        <v>2017</v>
      </c>
      <c r="M90" s="72">
        <v>0.0457</v>
      </c>
      <c r="N90" s="76">
        <v>41275</v>
      </c>
      <c r="O90" s="76">
        <v>41275</v>
      </c>
    </row>
    <row r="91" spans="1:15" ht="14.25">
      <c r="A91" s="73">
        <v>2013</v>
      </c>
      <c r="B91" s="74" t="s">
        <v>387</v>
      </c>
      <c r="C91" s="74" t="s">
        <v>388</v>
      </c>
      <c r="D91" s="75">
        <v>3007042</v>
      </c>
      <c r="E91" s="75">
        <v>2</v>
      </c>
      <c r="F91" s="75"/>
      <c r="G91" s="74">
        <v>240</v>
      </c>
      <c r="H91" s="74" t="s">
        <v>114</v>
      </c>
      <c r="I91" s="75"/>
      <c r="J91" s="75" t="s">
        <v>273</v>
      </c>
      <c r="K91" s="75" t="b">
        <v>1</v>
      </c>
      <c r="L91" s="71">
        <v>2021</v>
      </c>
      <c r="M91" s="72">
        <v>50000</v>
      </c>
      <c r="N91" s="76">
        <v>41275</v>
      </c>
      <c r="O91" s="76">
        <v>41275</v>
      </c>
    </row>
    <row r="92" spans="1:15" ht="14.25">
      <c r="A92" s="73">
        <v>2013</v>
      </c>
      <c r="B92" s="74" t="s">
        <v>387</v>
      </c>
      <c r="C92" s="74" t="s">
        <v>388</v>
      </c>
      <c r="D92" s="75">
        <v>3007042</v>
      </c>
      <c r="E92" s="75">
        <v>2</v>
      </c>
      <c r="F92" s="75"/>
      <c r="G92" s="74">
        <v>470</v>
      </c>
      <c r="H92" s="74" t="s">
        <v>130</v>
      </c>
      <c r="I92" s="75" t="s">
        <v>391</v>
      </c>
      <c r="J92" s="75" t="s">
        <v>286</v>
      </c>
      <c r="K92" s="75" t="b">
        <v>0</v>
      </c>
      <c r="L92" s="71">
        <v>2014</v>
      </c>
      <c r="M92" s="72">
        <v>269</v>
      </c>
      <c r="N92" s="76">
        <v>41275</v>
      </c>
      <c r="O92" s="76">
        <v>41275</v>
      </c>
    </row>
    <row r="93" spans="1:15" ht="14.25">
      <c r="A93" s="73">
        <v>2013</v>
      </c>
      <c r="B93" s="74" t="s">
        <v>387</v>
      </c>
      <c r="C93" s="74" t="s">
        <v>388</v>
      </c>
      <c r="D93" s="75">
        <v>3007042</v>
      </c>
      <c r="E93" s="75">
        <v>2</v>
      </c>
      <c r="F93" s="75"/>
      <c r="G93" s="74">
        <v>210</v>
      </c>
      <c r="H93" s="74" t="s">
        <v>110</v>
      </c>
      <c r="I93" s="75"/>
      <c r="J93" s="75" t="s">
        <v>271</v>
      </c>
      <c r="K93" s="75" t="b">
        <v>1</v>
      </c>
      <c r="L93" s="71">
        <v>2013</v>
      </c>
      <c r="M93" s="72">
        <v>500000</v>
      </c>
      <c r="N93" s="76">
        <v>41275</v>
      </c>
      <c r="O93" s="76">
        <v>41275</v>
      </c>
    </row>
    <row r="94" spans="1:15" ht="14.25">
      <c r="A94" s="73">
        <v>2013</v>
      </c>
      <c r="B94" s="74" t="s">
        <v>387</v>
      </c>
      <c r="C94" s="74" t="s">
        <v>388</v>
      </c>
      <c r="D94" s="75">
        <v>3007042</v>
      </c>
      <c r="E94" s="75">
        <v>2</v>
      </c>
      <c r="F94" s="75"/>
      <c r="G94" s="74">
        <v>471</v>
      </c>
      <c r="H94" s="74" t="s">
        <v>260</v>
      </c>
      <c r="I94" s="75" t="s">
        <v>391</v>
      </c>
      <c r="J94" s="75" t="s">
        <v>287</v>
      </c>
      <c r="K94" s="75" t="b">
        <v>0</v>
      </c>
      <c r="L94" s="71">
        <v>2015</v>
      </c>
      <c r="M94" s="72">
        <v>96</v>
      </c>
      <c r="N94" s="76">
        <v>41275</v>
      </c>
      <c r="O94" s="76">
        <v>41275</v>
      </c>
    </row>
    <row r="95" spans="1:15" ht="14.25">
      <c r="A95" s="73">
        <v>2013</v>
      </c>
      <c r="B95" s="74" t="s">
        <v>387</v>
      </c>
      <c r="C95" s="74" t="s">
        <v>388</v>
      </c>
      <c r="D95" s="75">
        <v>3007042</v>
      </c>
      <c r="E95" s="75">
        <v>2</v>
      </c>
      <c r="F95" s="75"/>
      <c r="G95" s="74">
        <v>470</v>
      </c>
      <c r="H95" s="74" t="s">
        <v>130</v>
      </c>
      <c r="I95" s="75" t="s">
        <v>391</v>
      </c>
      <c r="J95" s="75" t="s">
        <v>286</v>
      </c>
      <c r="K95" s="75" t="b">
        <v>0</v>
      </c>
      <c r="L95" s="71">
        <v>2013</v>
      </c>
      <c r="M95" s="72">
        <v>698</v>
      </c>
      <c r="N95" s="76">
        <v>41275</v>
      </c>
      <c r="O95" s="76">
        <v>41275</v>
      </c>
    </row>
    <row r="96" spans="1:15" ht="14.25">
      <c r="A96" s="73">
        <v>2013</v>
      </c>
      <c r="B96" s="74" t="s">
        <v>387</v>
      </c>
      <c r="C96" s="74" t="s">
        <v>388</v>
      </c>
      <c r="D96" s="75">
        <v>3007042</v>
      </c>
      <c r="E96" s="75">
        <v>2</v>
      </c>
      <c r="F96" s="75"/>
      <c r="G96" s="74">
        <v>500</v>
      </c>
      <c r="H96" s="74">
        <v>23</v>
      </c>
      <c r="I96" s="75" t="s">
        <v>408</v>
      </c>
      <c r="J96" s="75" t="s">
        <v>57</v>
      </c>
      <c r="K96" s="75" t="b">
        <v>1</v>
      </c>
      <c r="L96" s="71">
        <v>2015</v>
      </c>
      <c r="M96" s="72">
        <v>23547000</v>
      </c>
      <c r="N96" s="76">
        <v>41275</v>
      </c>
      <c r="O96" s="76">
        <v>41275</v>
      </c>
    </row>
    <row r="97" spans="1:15" ht="14.25">
      <c r="A97" s="73">
        <v>2013</v>
      </c>
      <c r="B97" s="74" t="s">
        <v>387</v>
      </c>
      <c r="C97" s="74" t="s">
        <v>388</v>
      </c>
      <c r="D97" s="75">
        <v>3007042</v>
      </c>
      <c r="E97" s="75">
        <v>2</v>
      </c>
      <c r="F97" s="75"/>
      <c r="G97" s="74">
        <v>2</v>
      </c>
      <c r="H97" s="74" t="s">
        <v>90</v>
      </c>
      <c r="I97" s="75"/>
      <c r="J97" s="75" t="s">
        <v>263</v>
      </c>
      <c r="K97" s="75" t="b">
        <v>1</v>
      </c>
      <c r="L97" s="71">
        <v>2020</v>
      </c>
      <c r="M97" s="72">
        <v>25360000</v>
      </c>
      <c r="N97" s="76">
        <v>41275</v>
      </c>
      <c r="O97" s="76">
        <v>41275</v>
      </c>
    </row>
    <row r="98" spans="1:15" ht="14.25">
      <c r="A98" s="73">
        <v>2013</v>
      </c>
      <c r="B98" s="74" t="s">
        <v>387</v>
      </c>
      <c r="C98" s="74" t="s">
        <v>388</v>
      </c>
      <c r="D98" s="75">
        <v>3007042</v>
      </c>
      <c r="E98" s="75">
        <v>2</v>
      </c>
      <c r="F98" s="75"/>
      <c r="G98" s="74">
        <v>400</v>
      </c>
      <c r="H98" s="74">
        <v>18</v>
      </c>
      <c r="I98" s="75" t="s">
        <v>402</v>
      </c>
      <c r="J98" s="75" t="s">
        <v>67</v>
      </c>
      <c r="K98" s="75" t="b">
        <v>0</v>
      </c>
      <c r="L98" s="71">
        <v>2014</v>
      </c>
      <c r="M98" s="72">
        <v>0.2189</v>
      </c>
      <c r="N98" s="76">
        <v>41275</v>
      </c>
      <c r="O98" s="76">
        <v>41275</v>
      </c>
    </row>
    <row r="99" spans="1:15" ht="14.25">
      <c r="A99" s="73">
        <v>2013</v>
      </c>
      <c r="B99" s="74" t="s">
        <v>387</v>
      </c>
      <c r="C99" s="74" t="s">
        <v>388</v>
      </c>
      <c r="D99" s="75">
        <v>3007042</v>
      </c>
      <c r="E99" s="75">
        <v>2</v>
      </c>
      <c r="F99" s="75"/>
      <c r="G99" s="74">
        <v>260</v>
      </c>
      <c r="H99" s="74">
        <v>9</v>
      </c>
      <c r="I99" s="75" t="s">
        <v>405</v>
      </c>
      <c r="J99" s="75" t="s">
        <v>116</v>
      </c>
      <c r="K99" s="75" t="b">
        <v>0</v>
      </c>
      <c r="L99" s="71">
        <v>2021</v>
      </c>
      <c r="M99" s="72">
        <v>820000</v>
      </c>
      <c r="N99" s="76">
        <v>41275</v>
      </c>
      <c r="O99" s="76">
        <v>41275</v>
      </c>
    </row>
    <row r="100" spans="1:15" ht="14.25">
      <c r="A100" s="73">
        <v>2013</v>
      </c>
      <c r="B100" s="74" t="s">
        <v>387</v>
      </c>
      <c r="C100" s="74" t="s">
        <v>388</v>
      </c>
      <c r="D100" s="75">
        <v>3007042</v>
      </c>
      <c r="E100" s="75">
        <v>2</v>
      </c>
      <c r="F100" s="75"/>
      <c r="G100" s="74">
        <v>450</v>
      </c>
      <c r="H100" s="74" t="s">
        <v>129</v>
      </c>
      <c r="I100" s="75" t="s">
        <v>392</v>
      </c>
      <c r="J100" s="75" t="s">
        <v>52</v>
      </c>
      <c r="K100" s="75" t="b">
        <v>0</v>
      </c>
      <c r="L100" s="71">
        <v>2018</v>
      </c>
      <c r="M100" s="72">
        <v>0.0499</v>
      </c>
      <c r="N100" s="76">
        <v>41275</v>
      </c>
      <c r="O100" s="76">
        <v>41275</v>
      </c>
    </row>
    <row r="101" spans="1:15" ht="14.25">
      <c r="A101" s="73">
        <v>2013</v>
      </c>
      <c r="B101" s="74" t="s">
        <v>387</v>
      </c>
      <c r="C101" s="74" t="s">
        <v>388</v>
      </c>
      <c r="D101" s="75">
        <v>3007042</v>
      </c>
      <c r="E101" s="75">
        <v>2</v>
      </c>
      <c r="F101" s="75"/>
      <c r="G101" s="74">
        <v>2</v>
      </c>
      <c r="H101" s="74" t="s">
        <v>90</v>
      </c>
      <c r="I101" s="75"/>
      <c r="J101" s="75" t="s">
        <v>263</v>
      </c>
      <c r="K101" s="75" t="b">
        <v>1</v>
      </c>
      <c r="L101" s="71">
        <v>2014</v>
      </c>
      <c r="M101" s="72">
        <v>23071000</v>
      </c>
      <c r="N101" s="76">
        <v>41275</v>
      </c>
      <c r="O101" s="76">
        <v>41275</v>
      </c>
    </row>
    <row r="102" spans="1:15" ht="14.25">
      <c r="A102" s="73">
        <v>2013</v>
      </c>
      <c r="B102" s="74" t="s">
        <v>387</v>
      </c>
      <c r="C102" s="74" t="s">
        <v>388</v>
      </c>
      <c r="D102" s="75">
        <v>3007042</v>
      </c>
      <c r="E102" s="75">
        <v>2</v>
      </c>
      <c r="F102" s="75"/>
      <c r="G102" s="74">
        <v>510</v>
      </c>
      <c r="H102" s="74">
        <v>24</v>
      </c>
      <c r="I102" s="75" t="s">
        <v>409</v>
      </c>
      <c r="J102" s="75" t="s">
        <v>291</v>
      </c>
      <c r="K102" s="75" t="b">
        <v>1</v>
      </c>
      <c r="L102" s="71">
        <v>2017</v>
      </c>
      <c r="M102" s="72">
        <v>23100000</v>
      </c>
      <c r="N102" s="76">
        <v>41275</v>
      </c>
      <c r="O102" s="76">
        <v>41275</v>
      </c>
    </row>
    <row r="103" spans="1:15" ht="14.25">
      <c r="A103" s="73">
        <v>2013</v>
      </c>
      <c r="B103" s="74" t="s">
        <v>387</v>
      </c>
      <c r="C103" s="74" t="s">
        <v>388</v>
      </c>
      <c r="D103" s="75">
        <v>3007042</v>
      </c>
      <c r="E103" s="75">
        <v>2</v>
      </c>
      <c r="F103" s="75"/>
      <c r="G103" s="74">
        <v>330</v>
      </c>
      <c r="H103" s="74">
        <v>13</v>
      </c>
      <c r="I103" s="75"/>
      <c r="J103" s="75" t="s">
        <v>274</v>
      </c>
      <c r="K103" s="75" t="b">
        <v>1</v>
      </c>
      <c r="L103" s="71">
        <v>2013</v>
      </c>
      <c r="M103" s="72">
        <v>4890000</v>
      </c>
      <c r="N103" s="76">
        <v>41275</v>
      </c>
      <c r="O103" s="76">
        <v>41275</v>
      </c>
    </row>
    <row r="104" spans="1:15" ht="14.25">
      <c r="A104" s="73">
        <v>2013</v>
      </c>
      <c r="B104" s="74" t="s">
        <v>387</v>
      </c>
      <c r="C104" s="74" t="s">
        <v>388</v>
      </c>
      <c r="D104" s="75">
        <v>3007042</v>
      </c>
      <c r="E104" s="75">
        <v>2</v>
      </c>
      <c r="F104" s="75"/>
      <c r="G104" s="74">
        <v>160</v>
      </c>
      <c r="H104" s="74">
        <v>3</v>
      </c>
      <c r="I104" s="75" t="s">
        <v>410</v>
      </c>
      <c r="J104" s="75" t="s">
        <v>105</v>
      </c>
      <c r="K104" s="75" t="b">
        <v>1</v>
      </c>
      <c r="L104" s="71">
        <v>2018</v>
      </c>
      <c r="M104" s="72">
        <v>1625000</v>
      </c>
      <c r="N104" s="76">
        <v>41275</v>
      </c>
      <c r="O104" s="76">
        <v>41275</v>
      </c>
    </row>
    <row r="105" spans="1:15" ht="14.25">
      <c r="A105" s="73">
        <v>2013</v>
      </c>
      <c r="B105" s="74" t="s">
        <v>387</v>
      </c>
      <c r="C105" s="74" t="s">
        <v>388</v>
      </c>
      <c r="D105" s="75">
        <v>3007042</v>
      </c>
      <c r="E105" s="75">
        <v>2</v>
      </c>
      <c r="F105" s="75"/>
      <c r="G105" s="74">
        <v>460</v>
      </c>
      <c r="H105" s="74">
        <v>21</v>
      </c>
      <c r="I105" s="75" t="s">
        <v>406</v>
      </c>
      <c r="J105" s="75" t="s">
        <v>285</v>
      </c>
      <c r="K105" s="75" t="b">
        <v>1</v>
      </c>
      <c r="L105" s="71">
        <v>2019</v>
      </c>
      <c r="M105" s="72">
        <v>0.0319</v>
      </c>
      <c r="N105" s="76">
        <v>41275</v>
      </c>
      <c r="O105" s="76">
        <v>41275</v>
      </c>
    </row>
    <row r="106" spans="1:15" ht="14.25">
      <c r="A106" s="73">
        <v>2013</v>
      </c>
      <c r="B106" s="74" t="s">
        <v>387</v>
      </c>
      <c r="C106" s="74" t="s">
        <v>388</v>
      </c>
      <c r="D106" s="75">
        <v>3007042</v>
      </c>
      <c r="E106" s="75">
        <v>2</v>
      </c>
      <c r="F106" s="75"/>
      <c r="G106" s="74">
        <v>440</v>
      </c>
      <c r="H106" s="74">
        <v>20</v>
      </c>
      <c r="I106" s="75" t="s">
        <v>399</v>
      </c>
      <c r="J106" s="75" t="s">
        <v>128</v>
      </c>
      <c r="K106" s="75" t="b">
        <v>1</v>
      </c>
      <c r="L106" s="71">
        <v>2018</v>
      </c>
      <c r="M106" s="72">
        <v>0.0565</v>
      </c>
      <c r="N106" s="76">
        <v>41275</v>
      </c>
      <c r="O106" s="76">
        <v>41275</v>
      </c>
    </row>
    <row r="107" spans="1:15" ht="14.25">
      <c r="A107" s="73">
        <v>2013</v>
      </c>
      <c r="B107" s="74" t="s">
        <v>387</v>
      </c>
      <c r="C107" s="74" t="s">
        <v>388</v>
      </c>
      <c r="D107" s="75">
        <v>3007042</v>
      </c>
      <c r="E107" s="75">
        <v>2</v>
      </c>
      <c r="F107" s="75"/>
      <c r="G107" s="74">
        <v>500</v>
      </c>
      <c r="H107" s="74">
        <v>23</v>
      </c>
      <c r="I107" s="75" t="s">
        <v>408</v>
      </c>
      <c r="J107" s="75" t="s">
        <v>57</v>
      </c>
      <c r="K107" s="75" t="b">
        <v>1</v>
      </c>
      <c r="L107" s="71">
        <v>2021</v>
      </c>
      <c r="M107" s="72">
        <v>25360000</v>
      </c>
      <c r="N107" s="76">
        <v>41275</v>
      </c>
      <c r="O107" s="76">
        <v>41275</v>
      </c>
    </row>
    <row r="108" spans="1:15" ht="14.25">
      <c r="A108" s="73">
        <v>2013</v>
      </c>
      <c r="B108" s="74" t="s">
        <v>387</v>
      </c>
      <c r="C108" s="74" t="s">
        <v>388</v>
      </c>
      <c r="D108" s="75">
        <v>3007042</v>
      </c>
      <c r="E108" s="75">
        <v>2</v>
      </c>
      <c r="F108" s="75"/>
      <c r="G108" s="74">
        <v>510</v>
      </c>
      <c r="H108" s="74">
        <v>24</v>
      </c>
      <c r="I108" s="75" t="s">
        <v>409</v>
      </c>
      <c r="J108" s="75" t="s">
        <v>291</v>
      </c>
      <c r="K108" s="75" t="b">
        <v>1</v>
      </c>
      <c r="L108" s="71">
        <v>2020</v>
      </c>
      <c r="M108" s="72">
        <v>23740000</v>
      </c>
      <c r="N108" s="76">
        <v>41275</v>
      </c>
      <c r="O108" s="76">
        <v>41275</v>
      </c>
    </row>
    <row r="109" spans="1:15" ht="14.25">
      <c r="A109" s="73">
        <v>2013</v>
      </c>
      <c r="B109" s="74" t="s">
        <v>387</v>
      </c>
      <c r="C109" s="74" t="s">
        <v>388</v>
      </c>
      <c r="D109" s="75">
        <v>3007042</v>
      </c>
      <c r="E109" s="75">
        <v>2</v>
      </c>
      <c r="F109" s="75"/>
      <c r="G109" s="74">
        <v>260</v>
      </c>
      <c r="H109" s="74">
        <v>9</v>
      </c>
      <c r="I109" s="75" t="s">
        <v>405</v>
      </c>
      <c r="J109" s="75" t="s">
        <v>116</v>
      </c>
      <c r="K109" s="75" t="b">
        <v>0</v>
      </c>
      <c r="L109" s="71">
        <v>2020</v>
      </c>
      <c r="M109" s="72">
        <v>980000</v>
      </c>
      <c r="N109" s="76">
        <v>41275</v>
      </c>
      <c r="O109" s="76">
        <v>41275</v>
      </c>
    </row>
    <row r="110" spans="1:15" ht="14.25">
      <c r="A110" s="73">
        <v>2013</v>
      </c>
      <c r="B110" s="74" t="s">
        <v>387</v>
      </c>
      <c r="C110" s="74" t="s">
        <v>388</v>
      </c>
      <c r="D110" s="75">
        <v>3007042</v>
      </c>
      <c r="E110" s="75">
        <v>2</v>
      </c>
      <c r="F110" s="75"/>
      <c r="G110" s="74">
        <v>500</v>
      </c>
      <c r="H110" s="74">
        <v>23</v>
      </c>
      <c r="I110" s="75" t="s">
        <v>408</v>
      </c>
      <c r="J110" s="75" t="s">
        <v>57</v>
      </c>
      <c r="K110" s="75" t="b">
        <v>1</v>
      </c>
      <c r="L110" s="71">
        <v>2019</v>
      </c>
      <c r="M110" s="72">
        <v>25100000</v>
      </c>
      <c r="N110" s="76">
        <v>41275</v>
      </c>
      <c r="O110" s="76">
        <v>41275</v>
      </c>
    </row>
    <row r="111" spans="1:15" ht="14.25">
      <c r="A111" s="73">
        <v>2013</v>
      </c>
      <c r="B111" s="74" t="s">
        <v>387</v>
      </c>
      <c r="C111" s="74" t="s">
        <v>388</v>
      </c>
      <c r="D111" s="75">
        <v>3007042</v>
      </c>
      <c r="E111" s="75">
        <v>2</v>
      </c>
      <c r="F111" s="75"/>
      <c r="G111" s="74">
        <v>370</v>
      </c>
      <c r="H111" s="74">
        <v>16</v>
      </c>
      <c r="I111" s="75"/>
      <c r="J111" s="75" t="s">
        <v>124</v>
      </c>
      <c r="K111" s="75" t="b">
        <v>1</v>
      </c>
      <c r="L111" s="71">
        <v>2021</v>
      </c>
      <c r="M111" s="72">
        <v>490000</v>
      </c>
      <c r="N111" s="76">
        <v>41275</v>
      </c>
      <c r="O111" s="76">
        <v>41275</v>
      </c>
    </row>
    <row r="112" spans="1:15" ht="14.25">
      <c r="A112" s="73">
        <v>2013</v>
      </c>
      <c r="B112" s="74" t="s">
        <v>387</v>
      </c>
      <c r="C112" s="74" t="s">
        <v>388</v>
      </c>
      <c r="D112" s="75">
        <v>3007042</v>
      </c>
      <c r="E112" s="75">
        <v>2</v>
      </c>
      <c r="F112" s="75"/>
      <c r="G112" s="74">
        <v>480</v>
      </c>
      <c r="H112" s="74">
        <v>22</v>
      </c>
      <c r="I112" s="75" t="s">
        <v>393</v>
      </c>
      <c r="J112" s="75" t="s">
        <v>288</v>
      </c>
      <c r="K112" s="75" t="b">
        <v>0</v>
      </c>
      <c r="L112" s="71">
        <v>2013</v>
      </c>
      <c r="M112" s="72">
        <v>0.0387</v>
      </c>
      <c r="N112" s="76">
        <v>41275</v>
      </c>
      <c r="O112" s="76">
        <v>41275</v>
      </c>
    </row>
    <row r="113" spans="1:15" ht="14.25">
      <c r="A113" s="73">
        <v>2013</v>
      </c>
      <c r="B113" s="74" t="s">
        <v>387</v>
      </c>
      <c r="C113" s="74" t="s">
        <v>388</v>
      </c>
      <c r="D113" s="75">
        <v>3007042</v>
      </c>
      <c r="E113" s="75">
        <v>2</v>
      </c>
      <c r="F113" s="75"/>
      <c r="G113" s="74">
        <v>500</v>
      </c>
      <c r="H113" s="74">
        <v>23</v>
      </c>
      <c r="I113" s="75" t="s">
        <v>408</v>
      </c>
      <c r="J113" s="75" t="s">
        <v>57</v>
      </c>
      <c r="K113" s="75" t="b">
        <v>1</v>
      </c>
      <c r="L113" s="71">
        <v>2016</v>
      </c>
      <c r="M113" s="72">
        <v>24018000</v>
      </c>
      <c r="N113" s="76">
        <v>41275</v>
      </c>
      <c r="O113" s="76">
        <v>41275</v>
      </c>
    </row>
    <row r="114" spans="1:15" ht="14.25">
      <c r="A114" s="73">
        <v>2013</v>
      </c>
      <c r="B114" s="74" t="s">
        <v>387</v>
      </c>
      <c r="C114" s="74" t="s">
        <v>388</v>
      </c>
      <c r="D114" s="75">
        <v>3007042</v>
      </c>
      <c r="E114" s="75">
        <v>2</v>
      </c>
      <c r="F114" s="75"/>
      <c r="G114" s="74">
        <v>500</v>
      </c>
      <c r="H114" s="74">
        <v>23</v>
      </c>
      <c r="I114" s="75" t="s">
        <v>408</v>
      </c>
      <c r="J114" s="75" t="s">
        <v>57</v>
      </c>
      <c r="K114" s="75" t="b">
        <v>1</v>
      </c>
      <c r="L114" s="71">
        <v>2020</v>
      </c>
      <c r="M114" s="72">
        <v>25360000</v>
      </c>
      <c r="N114" s="76">
        <v>41275</v>
      </c>
      <c r="O114" s="76">
        <v>41275</v>
      </c>
    </row>
    <row r="115" spans="1:15" ht="14.25">
      <c r="A115" s="73">
        <v>2013</v>
      </c>
      <c r="B115" s="74" t="s">
        <v>387</v>
      </c>
      <c r="C115" s="74" t="s">
        <v>388</v>
      </c>
      <c r="D115" s="75">
        <v>3007042</v>
      </c>
      <c r="E115" s="75">
        <v>2</v>
      </c>
      <c r="F115" s="75"/>
      <c r="G115" s="74">
        <v>7</v>
      </c>
      <c r="H115" s="74" t="s">
        <v>243</v>
      </c>
      <c r="I115" s="75"/>
      <c r="J115" s="75" t="s">
        <v>244</v>
      </c>
      <c r="K115" s="75" t="b">
        <v>1</v>
      </c>
      <c r="L115" s="71">
        <v>2013</v>
      </c>
      <c r="M115" s="72">
        <v>693738</v>
      </c>
      <c r="N115" s="76">
        <v>41275</v>
      </c>
      <c r="O115" s="76">
        <v>41275</v>
      </c>
    </row>
    <row r="116" spans="1:15" ht="14.25">
      <c r="A116" s="73">
        <v>2013</v>
      </c>
      <c r="B116" s="74" t="s">
        <v>387</v>
      </c>
      <c r="C116" s="74" t="s">
        <v>388</v>
      </c>
      <c r="D116" s="75">
        <v>3007042</v>
      </c>
      <c r="E116" s="75">
        <v>2</v>
      </c>
      <c r="F116" s="75"/>
      <c r="G116" s="74">
        <v>230</v>
      </c>
      <c r="H116" s="74" t="s">
        <v>113</v>
      </c>
      <c r="I116" s="75"/>
      <c r="J116" s="75" t="s">
        <v>272</v>
      </c>
      <c r="K116" s="75" t="b">
        <v>1</v>
      </c>
      <c r="L116" s="71">
        <v>2017</v>
      </c>
      <c r="M116" s="72">
        <v>270000</v>
      </c>
      <c r="N116" s="76">
        <v>41275</v>
      </c>
      <c r="O116" s="76">
        <v>41275</v>
      </c>
    </row>
    <row r="117" spans="1:15" ht="14.25">
      <c r="A117" s="73">
        <v>2013</v>
      </c>
      <c r="B117" s="74" t="s">
        <v>387</v>
      </c>
      <c r="C117" s="74" t="s">
        <v>388</v>
      </c>
      <c r="D117" s="75">
        <v>3007042</v>
      </c>
      <c r="E117" s="75">
        <v>2</v>
      </c>
      <c r="F117" s="75"/>
      <c r="G117" s="74">
        <v>510</v>
      </c>
      <c r="H117" s="74">
        <v>24</v>
      </c>
      <c r="I117" s="75" t="s">
        <v>409</v>
      </c>
      <c r="J117" s="75" t="s">
        <v>291</v>
      </c>
      <c r="K117" s="75" t="b">
        <v>1</v>
      </c>
      <c r="L117" s="71">
        <v>2015</v>
      </c>
      <c r="M117" s="72">
        <v>22447000</v>
      </c>
      <c r="N117" s="76">
        <v>41275</v>
      </c>
      <c r="O117" s="76">
        <v>41275</v>
      </c>
    </row>
    <row r="118" spans="1:15" ht="14.25">
      <c r="A118" s="73">
        <v>2013</v>
      </c>
      <c r="B118" s="74" t="s">
        <v>387</v>
      </c>
      <c r="C118" s="74" t="s">
        <v>388</v>
      </c>
      <c r="D118" s="75">
        <v>3007042</v>
      </c>
      <c r="E118" s="75">
        <v>2</v>
      </c>
      <c r="F118" s="75"/>
      <c r="G118" s="74">
        <v>210</v>
      </c>
      <c r="H118" s="74" t="s">
        <v>110</v>
      </c>
      <c r="I118" s="75"/>
      <c r="J118" s="75" t="s">
        <v>271</v>
      </c>
      <c r="K118" s="75" t="b">
        <v>1</v>
      </c>
      <c r="L118" s="71">
        <v>2014</v>
      </c>
      <c r="M118" s="72">
        <v>700000</v>
      </c>
      <c r="N118" s="76">
        <v>41275</v>
      </c>
      <c r="O118" s="76">
        <v>41275</v>
      </c>
    </row>
    <row r="119" spans="1:15" ht="14.25">
      <c r="A119" s="73">
        <v>2013</v>
      </c>
      <c r="B119" s="74" t="s">
        <v>387</v>
      </c>
      <c r="C119" s="74" t="s">
        <v>388</v>
      </c>
      <c r="D119" s="75">
        <v>3007042</v>
      </c>
      <c r="E119" s="75">
        <v>2</v>
      </c>
      <c r="F119" s="75"/>
      <c r="G119" s="74">
        <v>471</v>
      </c>
      <c r="H119" s="74" t="s">
        <v>260</v>
      </c>
      <c r="I119" s="75" t="s">
        <v>391</v>
      </c>
      <c r="J119" s="75" t="s">
        <v>287</v>
      </c>
      <c r="K119" s="75" t="b">
        <v>0</v>
      </c>
      <c r="L119" s="71">
        <v>2018</v>
      </c>
      <c r="M119" s="72">
        <v>5</v>
      </c>
      <c r="N119" s="76">
        <v>41275</v>
      </c>
      <c r="O119" s="76">
        <v>41275</v>
      </c>
    </row>
    <row r="120" spans="1:15" ht="14.25">
      <c r="A120" s="73">
        <v>2013</v>
      </c>
      <c r="B120" s="74" t="s">
        <v>387</v>
      </c>
      <c r="C120" s="74" t="s">
        <v>388</v>
      </c>
      <c r="D120" s="75">
        <v>3007042</v>
      </c>
      <c r="E120" s="75">
        <v>2</v>
      </c>
      <c r="F120" s="75"/>
      <c r="G120" s="74">
        <v>410</v>
      </c>
      <c r="H120" s="74" t="s">
        <v>126</v>
      </c>
      <c r="I120" s="75" t="s">
        <v>395</v>
      </c>
      <c r="J120" s="75" t="s">
        <v>69</v>
      </c>
      <c r="K120" s="75" t="b">
        <v>0</v>
      </c>
      <c r="L120" s="71">
        <v>2020</v>
      </c>
      <c r="M120" s="72">
        <v>0.0193</v>
      </c>
      <c r="N120" s="76">
        <v>41275</v>
      </c>
      <c r="O120" s="76">
        <v>41275</v>
      </c>
    </row>
    <row r="121" spans="1:15" ht="14.25">
      <c r="A121" s="73">
        <v>2013</v>
      </c>
      <c r="B121" s="74" t="s">
        <v>387</v>
      </c>
      <c r="C121" s="74" t="s">
        <v>388</v>
      </c>
      <c r="D121" s="75">
        <v>3007042</v>
      </c>
      <c r="E121" s="75">
        <v>2</v>
      </c>
      <c r="F121" s="75"/>
      <c r="G121" s="74">
        <v>151</v>
      </c>
      <c r="H121" s="74" t="s">
        <v>249</v>
      </c>
      <c r="I121" s="75"/>
      <c r="J121" s="75" t="s">
        <v>248</v>
      </c>
      <c r="K121" s="75" t="b">
        <v>0</v>
      </c>
      <c r="L121" s="71">
        <v>2013</v>
      </c>
      <c r="M121" s="72">
        <v>164966</v>
      </c>
      <c r="N121" s="76">
        <v>41275</v>
      </c>
      <c r="O121" s="76">
        <v>41275</v>
      </c>
    </row>
    <row r="122" spans="1:15" ht="14.25">
      <c r="A122" s="73">
        <v>2013</v>
      </c>
      <c r="B122" s="74" t="s">
        <v>387</v>
      </c>
      <c r="C122" s="74" t="s">
        <v>388</v>
      </c>
      <c r="D122" s="75">
        <v>3007042</v>
      </c>
      <c r="E122" s="75">
        <v>2</v>
      </c>
      <c r="F122" s="75"/>
      <c r="G122" s="74">
        <v>490</v>
      </c>
      <c r="H122" s="74" t="s">
        <v>131</v>
      </c>
      <c r="I122" s="75" t="s">
        <v>389</v>
      </c>
      <c r="J122" s="75" t="s">
        <v>289</v>
      </c>
      <c r="K122" s="75" t="b">
        <v>0</v>
      </c>
      <c r="L122" s="71">
        <v>2013</v>
      </c>
      <c r="M122" s="72">
        <v>698</v>
      </c>
      <c r="N122" s="76">
        <v>41275</v>
      </c>
      <c r="O122" s="76">
        <v>41275</v>
      </c>
    </row>
    <row r="123" spans="1:15" ht="14.25">
      <c r="A123" s="73">
        <v>2013</v>
      </c>
      <c r="B123" s="74" t="s">
        <v>387</v>
      </c>
      <c r="C123" s="74" t="s">
        <v>388</v>
      </c>
      <c r="D123" s="75">
        <v>3007042</v>
      </c>
      <c r="E123" s="75">
        <v>2</v>
      </c>
      <c r="F123" s="75"/>
      <c r="G123" s="74">
        <v>540</v>
      </c>
      <c r="H123" s="74">
        <v>27</v>
      </c>
      <c r="I123" s="75" t="s">
        <v>390</v>
      </c>
      <c r="J123" s="75" t="s">
        <v>45</v>
      </c>
      <c r="K123" s="75" t="b">
        <v>0</v>
      </c>
      <c r="L123" s="71">
        <v>2021</v>
      </c>
      <c r="M123" s="72">
        <v>24870000</v>
      </c>
      <c r="N123" s="76">
        <v>41275</v>
      </c>
      <c r="O123" s="76">
        <v>41275</v>
      </c>
    </row>
    <row r="124" spans="1:15" ht="14.25">
      <c r="A124" s="73">
        <v>2013</v>
      </c>
      <c r="B124" s="74" t="s">
        <v>387</v>
      </c>
      <c r="C124" s="74" t="s">
        <v>388</v>
      </c>
      <c r="D124" s="75">
        <v>3007042</v>
      </c>
      <c r="E124" s="75">
        <v>2</v>
      </c>
      <c r="F124" s="75"/>
      <c r="G124" s="74">
        <v>570</v>
      </c>
      <c r="H124" s="74">
        <v>30</v>
      </c>
      <c r="I124" s="75" t="s">
        <v>400</v>
      </c>
      <c r="J124" s="75" t="s">
        <v>292</v>
      </c>
      <c r="K124" s="75" t="b">
        <v>0</v>
      </c>
      <c r="L124" s="71">
        <v>2016</v>
      </c>
      <c r="M124" s="72">
        <v>770000</v>
      </c>
      <c r="N124" s="76">
        <v>41275</v>
      </c>
      <c r="O124" s="76">
        <v>41275</v>
      </c>
    </row>
    <row r="125" spans="1:15" ht="14.25">
      <c r="A125" s="73">
        <v>2013</v>
      </c>
      <c r="B125" s="74" t="s">
        <v>387</v>
      </c>
      <c r="C125" s="74" t="s">
        <v>388</v>
      </c>
      <c r="D125" s="75">
        <v>3007042</v>
      </c>
      <c r="E125" s="75">
        <v>2</v>
      </c>
      <c r="F125" s="75"/>
      <c r="G125" s="74">
        <v>1</v>
      </c>
      <c r="H125" s="74">
        <v>1</v>
      </c>
      <c r="I125" s="75" t="s">
        <v>411</v>
      </c>
      <c r="J125" s="75" t="s">
        <v>89</v>
      </c>
      <c r="K125" s="75" t="b">
        <v>1</v>
      </c>
      <c r="L125" s="71">
        <v>2016</v>
      </c>
      <c r="M125" s="72">
        <v>24018000</v>
      </c>
      <c r="N125" s="76">
        <v>41275</v>
      </c>
      <c r="O125" s="76">
        <v>41275</v>
      </c>
    </row>
    <row r="126" spans="1:15" ht="14.25">
      <c r="A126" s="73">
        <v>2013</v>
      </c>
      <c r="B126" s="74" t="s">
        <v>387</v>
      </c>
      <c r="C126" s="74" t="s">
        <v>388</v>
      </c>
      <c r="D126" s="75">
        <v>3007042</v>
      </c>
      <c r="E126" s="75">
        <v>2</v>
      </c>
      <c r="F126" s="75"/>
      <c r="G126" s="74">
        <v>490</v>
      </c>
      <c r="H126" s="74" t="s">
        <v>131</v>
      </c>
      <c r="I126" s="75" t="s">
        <v>389</v>
      </c>
      <c r="J126" s="75" t="s">
        <v>289</v>
      </c>
      <c r="K126" s="75" t="b">
        <v>0</v>
      </c>
      <c r="L126" s="71">
        <v>2018</v>
      </c>
      <c r="M126" s="72">
        <v>5</v>
      </c>
      <c r="N126" s="76">
        <v>41275</v>
      </c>
      <c r="O126" s="76">
        <v>41275</v>
      </c>
    </row>
    <row r="127" spans="1:15" ht="14.25">
      <c r="A127" s="73">
        <v>2013</v>
      </c>
      <c r="B127" s="74" t="s">
        <v>387</v>
      </c>
      <c r="C127" s="74" t="s">
        <v>388</v>
      </c>
      <c r="D127" s="75">
        <v>3007042</v>
      </c>
      <c r="E127" s="75">
        <v>2</v>
      </c>
      <c r="F127" s="75"/>
      <c r="G127" s="74">
        <v>440</v>
      </c>
      <c r="H127" s="74">
        <v>20</v>
      </c>
      <c r="I127" s="75" t="s">
        <v>399</v>
      </c>
      <c r="J127" s="75" t="s">
        <v>128</v>
      </c>
      <c r="K127" s="75" t="b">
        <v>1</v>
      </c>
      <c r="L127" s="71">
        <v>2015</v>
      </c>
      <c r="M127" s="72">
        <v>0.0467</v>
      </c>
      <c r="N127" s="76">
        <v>41275</v>
      </c>
      <c r="O127" s="76">
        <v>41275</v>
      </c>
    </row>
    <row r="128" spans="1:15" ht="14.25">
      <c r="A128" s="73">
        <v>2013</v>
      </c>
      <c r="B128" s="74" t="s">
        <v>387</v>
      </c>
      <c r="C128" s="74" t="s">
        <v>388</v>
      </c>
      <c r="D128" s="75">
        <v>3007042</v>
      </c>
      <c r="E128" s="75">
        <v>2</v>
      </c>
      <c r="F128" s="75"/>
      <c r="G128" s="74">
        <v>550</v>
      </c>
      <c r="H128" s="74">
        <v>28</v>
      </c>
      <c r="I128" s="75" t="s">
        <v>398</v>
      </c>
      <c r="J128" s="75" t="s">
        <v>47</v>
      </c>
      <c r="K128" s="75" t="b">
        <v>0</v>
      </c>
      <c r="L128" s="71">
        <v>2015</v>
      </c>
      <c r="M128" s="72">
        <v>790000</v>
      </c>
      <c r="N128" s="76">
        <v>41275</v>
      </c>
      <c r="O128" s="76">
        <v>41275</v>
      </c>
    </row>
    <row r="129" spans="1:15" ht="14.25">
      <c r="A129" s="73">
        <v>2013</v>
      </c>
      <c r="B129" s="74" t="s">
        <v>387</v>
      </c>
      <c r="C129" s="74" t="s">
        <v>388</v>
      </c>
      <c r="D129" s="75">
        <v>3007042</v>
      </c>
      <c r="E129" s="75">
        <v>2</v>
      </c>
      <c r="F129" s="75"/>
      <c r="G129" s="74">
        <v>510</v>
      </c>
      <c r="H129" s="74">
        <v>24</v>
      </c>
      <c r="I129" s="75" t="s">
        <v>409</v>
      </c>
      <c r="J129" s="75" t="s">
        <v>291</v>
      </c>
      <c r="K129" s="75" t="b">
        <v>1</v>
      </c>
      <c r="L129" s="71">
        <v>2016</v>
      </c>
      <c r="M129" s="72">
        <v>22918000</v>
      </c>
      <c r="N129" s="76">
        <v>41275</v>
      </c>
      <c r="O129" s="76">
        <v>41275</v>
      </c>
    </row>
    <row r="130" spans="1:15" ht="14.25">
      <c r="A130" s="73">
        <v>2013</v>
      </c>
      <c r="B130" s="74" t="s">
        <v>387</v>
      </c>
      <c r="C130" s="74" t="s">
        <v>388</v>
      </c>
      <c r="D130" s="75">
        <v>3007042</v>
      </c>
      <c r="E130" s="75">
        <v>2</v>
      </c>
      <c r="F130" s="75"/>
      <c r="G130" s="74">
        <v>330</v>
      </c>
      <c r="H130" s="74">
        <v>13</v>
      </c>
      <c r="I130" s="75"/>
      <c r="J130" s="75" t="s">
        <v>274</v>
      </c>
      <c r="K130" s="75" t="b">
        <v>1</v>
      </c>
      <c r="L130" s="71">
        <v>2014</v>
      </c>
      <c r="M130" s="72">
        <v>5190000</v>
      </c>
      <c r="N130" s="76">
        <v>41275</v>
      </c>
      <c r="O130" s="76">
        <v>41275</v>
      </c>
    </row>
    <row r="131" spans="1:15" ht="14.25">
      <c r="A131" s="73">
        <v>2013</v>
      </c>
      <c r="B131" s="74" t="s">
        <v>387</v>
      </c>
      <c r="C131" s="74" t="s">
        <v>388</v>
      </c>
      <c r="D131" s="75">
        <v>3007042</v>
      </c>
      <c r="E131" s="75">
        <v>2</v>
      </c>
      <c r="F131" s="75"/>
      <c r="G131" s="74">
        <v>570</v>
      </c>
      <c r="H131" s="74">
        <v>30</v>
      </c>
      <c r="I131" s="75" t="s">
        <v>400</v>
      </c>
      <c r="J131" s="75" t="s">
        <v>292</v>
      </c>
      <c r="K131" s="75" t="b">
        <v>0</v>
      </c>
      <c r="L131" s="71">
        <v>2019</v>
      </c>
      <c r="M131" s="72">
        <v>650000</v>
      </c>
      <c r="N131" s="76">
        <v>41275</v>
      </c>
      <c r="O131" s="76">
        <v>41275</v>
      </c>
    </row>
    <row r="132" spans="1:15" ht="14.25">
      <c r="A132" s="73">
        <v>2013</v>
      </c>
      <c r="B132" s="74" t="s">
        <v>387</v>
      </c>
      <c r="C132" s="74" t="s">
        <v>388</v>
      </c>
      <c r="D132" s="75">
        <v>3007042</v>
      </c>
      <c r="E132" s="75">
        <v>2</v>
      </c>
      <c r="F132" s="75"/>
      <c r="G132" s="74">
        <v>550</v>
      </c>
      <c r="H132" s="74">
        <v>28</v>
      </c>
      <c r="I132" s="75" t="s">
        <v>398</v>
      </c>
      <c r="J132" s="75" t="s">
        <v>47</v>
      </c>
      <c r="K132" s="75" t="b">
        <v>0</v>
      </c>
      <c r="L132" s="71">
        <v>2016</v>
      </c>
      <c r="M132" s="72">
        <v>770000</v>
      </c>
      <c r="N132" s="76">
        <v>41275</v>
      </c>
      <c r="O132" s="76">
        <v>41275</v>
      </c>
    </row>
    <row r="133" spans="1:15" ht="14.25">
      <c r="A133" s="73">
        <v>2013</v>
      </c>
      <c r="B133" s="74" t="s">
        <v>387</v>
      </c>
      <c r="C133" s="74" t="s">
        <v>388</v>
      </c>
      <c r="D133" s="75">
        <v>3007042</v>
      </c>
      <c r="E133" s="75">
        <v>2</v>
      </c>
      <c r="F133" s="75"/>
      <c r="G133" s="74">
        <v>491</v>
      </c>
      <c r="H133" s="74" t="s">
        <v>261</v>
      </c>
      <c r="I133" s="75" t="s">
        <v>389</v>
      </c>
      <c r="J133" s="75" t="s">
        <v>290</v>
      </c>
      <c r="K133" s="75" t="b">
        <v>0</v>
      </c>
      <c r="L133" s="71">
        <v>2013</v>
      </c>
      <c r="M133" s="72">
        <v>775</v>
      </c>
      <c r="N133" s="76">
        <v>41275</v>
      </c>
      <c r="O133" s="76">
        <v>41275</v>
      </c>
    </row>
    <row r="134" spans="1:15" ht="14.25">
      <c r="A134" s="73">
        <v>2013</v>
      </c>
      <c r="B134" s="74" t="s">
        <v>387</v>
      </c>
      <c r="C134" s="74" t="s">
        <v>388</v>
      </c>
      <c r="D134" s="75">
        <v>3007042</v>
      </c>
      <c r="E134" s="75">
        <v>2</v>
      </c>
      <c r="F134" s="75"/>
      <c r="G134" s="74">
        <v>510</v>
      </c>
      <c r="H134" s="74">
        <v>24</v>
      </c>
      <c r="I134" s="75" t="s">
        <v>409</v>
      </c>
      <c r="J134" s="75" t="s">
        <v>291</v>
      </c>
      <c r="K134" s="75" t="b">
        <v>1</v>
      </c>
      <c r="L134" s="71">
        <v>2018</v>
      </c>
      <c r="M134" s="72">
        <v>23400000</v>
      </c>
      <c r="N134" s="76">
        <v>41275</v>
      </c>
      <c r="O134" s="76">
        <v>41275</v>
      </c>
    </row>
    <row r="135" spans="1:15" ht="14.25">
      <c r="A135" s="73">
        <v>2013</v>
      </c>
      <c r="B135" s="74" t="s">
        <v>387</v>
      </c>
      <c r="C135" s="74" t="s">
        <v>388</v>
      </c>
      <c r="D135" s="75">
        <v>3007042</v>
      </c>
      <c r="E135" s="75">
        <v>2</v>
      </c>
      <c r="F135" s="75"/>
      <c r="G135" s="74">
        <v>190</v>
      </c>
      <c r="H135" s="74">
        <v>6</v>
      </c>
      <c r="I135" s="75" t="s">
        <v>394</v>
      </c>
      <c r="J135" s="75" t="s">
        <v>109</v>
      </c>
      <c r="K135" s="75" t="b">
        <v>0</v>
      </c>
      <c r="L135" s="71">
        <v>2020</v>
      </c>
      <c r="M135" s="72">
        <v>1720000</v>
      </c>
      <c r="N135" s="76">
        <v>41275</v>
      </c>
      <c r="O135" s="76">
        <v>41275</v>
      </c>
    </row>
    <row r="136" spans="1:15" ht="14.25">
      <c r="A136" s="73">
        <v>2013</v>
      </c>
      <c r="B136" s="74" t="s">
        <v>387</v>
      </c>
      <c r="C136" s="74" t="s">
        <v>388</v>
      </c>
      <c r="D136" s="75">
        <v>3007042</v>
      </c>
      <c r="E136" s="75">
        <v>2</v>
      </c>
      <c r="F136" s="75"/>
      <c r="G136" s="74">
        <v>520</v>
      </c>
      <c r="H136" s="74">
        <v>25</v>
      </c>
      <c r="I136" s="75" t="s">
        <v>407</v>
      </c>
      <c r="J136" s="75" t="s">
        <v>48</v>
      </c>
      <c r="K136" s="75" t="b">
        <v>1</v>
      </c>
      <c r="L136" s="71">
        <v>2018</v>
      </c>
      <c r="M136" s="72">
        <v>1400000</v>
      </c>
      <c r="N136" s="76">
        <v>41275</v>
      </c>
      <c r="O136" s="76">
        <v>41275</v>
      </c>
    </row>
    <row r="137" spans="1:15" ht="14.25">
      <c r="A137" s="73">
        <v>2013</v>
      </c>
      <c r="B137" s="74" t="s">
        <v>387</v>
      </c>
      <c r="C137" s="74" t="s">
        <v>388</v>
      </c>
      <c r="D137" s="75">
        <v>3007042</v>
      </c>
      <c r="E137" s="75">
        <v>2</v>
      </c>
      <c r="F137" s="75"/>
      <c r="G137" s="74">
        <v>530</v>
      </c>
      <c r="H137" s="74">
        <v>26</v>
      </c>
      <c r="I137" s="75" t="s">
        <v>404</v>
      </c>
      <c r="J137" s="75" t="s">
        <v>56</v>
      </c>
      <c r="K137" s="75" t="b">
        <v>1</v>
      </c>
      <c r="L137" s="71">
        <v>2015</v>
      </c>
      <c r="M137" s="72">
        <v>23547000</v>
      </c>
      <c r="N137" s="76">
        <v>41275</v>
      </c>
      <c r="O137" s="76">
        <v>41275</v>
      </c>
    </row>
    <row r="138" spans="1:15" ht="14.25">
      <c r="A138" s="73">
        <v>2013</v>
      </c>
      <c r="B138" s="74" t="s">
        <v>387</v>
      </c>
      <c r="C138" s="74" t="s">
        <v>388</v>
      </c>
      <c r="D138" s="75">
        <v>3007042</v>
      </c>
      <c r="E138" s="75">
        <v>2</v>
      </c>
      <c r="F138" s="75"/>
      <c r="G138" s="74">
        <v>230</v>
      </c>
      <c r="H138" s="74" t="s">
        <v>113</v>
      </c>
      <c r="I138" s="75"/>
      <c r="J138" s="75" t="s">
        <v>272</v>
      </c>
      <c r="K138" s="75" t="b">
        <v>1</v>
      </c>
      <c r="L138" s="71">
        <v>2019</v>
      </c>
      <c r="M138" s="72">
        <v>150000</v>
      </c>
      <c r="N138" s="76">
        <v>41275</v>
      </c>
      <c r="O138" s="76">
        <v>41275</v>
      </c>
    </row>
    <row r="139" spans="1:15" ht="14.25">
      <c r="A139" s="73">
        <v>2013</v>
      </c>
      <c r="B139" s="74" t="s">
        <v>387</v>
      </c>
      <c r="C139" s="74" t="s">
        <v>388</v>
      </c>
      <c r="D139" s="75">
        <v>3007042</v>
      </c>
      <c r="E139" s="75">
        <v>2</v>
      </c>
      <c r="F139" s="75"/>
      <c r="G139" s="74">
        <v>540</v>
      </c>
      <c r="H139" s="74">
        <v>27</v>
      </c>
      <c r="I139" s="75" t="s">
        <v>390</v>
      </c>
      <c r="J139" s="75" t="s">
        <v>45</v>
      </c>
      <c r="K139" s="75" t="b">
        <v>0</v>
      </c>
      <c r="L139" s="71">
        <v>2020</v>
      </c>
      <c r="M139" s="72">
        <v>24720000</v>
      </c>
      <c r="N139" s="76">
        <v>41275</v>
      </c>
      <c r="O139" s="76">
        <v>41275</v>
      </c>
    </row>
    <row r="140" spans="1:15" ht="14.25">
      <c r="A140" s="73">
        <v>2013</v>
      </c>
      <c r="B140" s="74" t="s">
        <v>387</v>
      </c>
      <c r="C140" s="74" t="s">
        <v>388</v>
      </c>
      <c r="D140" s="75">
        <v>3007042</v>
      </c>
      <c r="E140" s="75">
        <v>2</v>
      </c>
      <c r="F140" s="75"/>
      <c r="G140" s="74">
        <v>210</v>
      </c>
      <c r="H140" s="74" t="s">
        <v>110</v>
      </c>
      <c r="I140" s="75"/>
      <c r="J140" s="75" t="s">
        <v>271</v>
      </c>
      <c r="K140" s="75" t="b">
        <v>1</v>
      </c>
      <c r="L140" s="71">
        <v>2017</v>
      </c>
      <c r="M140" s="72">
        <v>850000</v>
      </c>
      <c r="N140" s="76">
        <v>41275</v>
      </c>
      <c r="O140" s="76">
        <v>41275</v>
      </c>
    </row>
    <row r="141" spans="1:15" ht="14.25">
      <c r="A141" s="73">
        <v>2013</v>
      </c>
      <c r="B141" s="74" t="s">
        <v>387</v>
      </c>
      <c r="C141" s="74" t="s">
        <v>388</v>
      </c>
      <c r="D141" s="75">
        <v>3007042</v>
      </c>
      <c r="E141" s="75">
        <v>2</v>
      </c>
      <c r="F141" s="75"/>
      <c r="G141" s="74">
        <v>451</v>
      </c>
      <c r="H141" s="74" t="s">
        <v>259</v>
      </c>
      <c r="I141" s="75" t="s">
        <v>392</v>
      </c>
      <c r="J141" s="75" t="s">
        <v>284</v>
      </c>
      <c r="K141" s="75" t="b">
        <v>0</v>
      </c>
      <c r="L141" s="71">
        <v>2014</v>
      </c>
      <c r="M141" s="72">
        <v>0.081</v>
      </c>
      <c r="N141" s="76">
        <v>41275</v>
      </c>
      <c r="O141" s="76">
        <v>41275</v>
      </c>
    </row>
    <row r="142" spans="1:15" ht="14.25">
      <c r="A142" s="73">
        <v>2013</v>
      </c>
      <c r="B142" s="74" t="s">
        <v>387</v>
      </c>
      <c r="C142" s="74" t="s">
        <v>388</v>
      </c>
      <c r="D142" s="75">
        <v>3007042</v>
      </c>
      <c r="E142" s="75">
        <v>2</v>
      </c>
      <c r="F142" s="75"/>
      <c r="G142" s="74">
        <v>280</v>
      </c>
      <c r="H142" s="74" t="s">
        <v>117</v>
      </c>
      <c r="I142" s="75"/>
      <c r="J142" s="75" t="s">
        <v>118</v>
      </c>
      <c r="K142" s="75" t="b">
        <v>0</v>
      </c>
      <c r="L142" s="71">
        <v>2014</v>
      </c>
      <c r="M142" s="72">
        <v>2020000</v>
      </c>
      <c r="N142" s="76">
        <v>41275</v>
      </c>
      <c r="O142" s="76">
        <v>41275</v>
      </c>
    </row>
    <row r="143" spans="1:15" ht="14.25">
      <c r="A143" s="73">
        <v>2013</v>
      </c>
      <c r="B143" s="74" t="s">
        <v>387</v>
      </c>
      <c r="C143" s="74" t="s">
        <v>388</v>
      </c>
      <c r="D143" s="75">
        <v>3007042</v>
      </c>
      <c r="E143" s="75">
        <v>2</v>
      </c>
      <c r="F143" s="75"/>
      <c r="G143" s="74">
        <v>310</v>
      </c>
      <c r="H143" s="74" t="s">
        <v>120</v>
      </c>
      <c r="I143" s="75"/>
      <c r="J143" s="75" t="s">
        <v>106</v>
      </c>
      <c r="K143" s="75" t="b">
        <v>1</v>
      </c>
      <c r="L143" s="71">
        <v>2014</v>
      </c>
      <c r="M143" s="72">
        <v>300000</v>
      </c>
      <c r="N143" s="76">
        <v>41275</v>
      </c>
      <c r="O143" s="76">
        <v>41275</v>
      </c>
    </row>
    <row r="144" spans="1:15" ht="14.25">
      <c r="A144" s="73">
        <v>2013</v>
      </c>
      <c r="B144" s="74" t="s">
        <v>387</v>
      </c>
      <c r="C144" s="74" t="s">
        <v>388</v>
      </c>
      <c r="D144" s="75">
        <v>3007042</v>
      </c>
      <c r="E144" s="75">
        <v>2</v>
      </c>
      <c r="F144" s="75"/>
      <c r="G144" s="74">
        <v>400</v>
      </c>
      <c r="H144" s="74">
        <v>18</v>
      </c>
      <c r="I144" s="75" t="s">
        <v>402</v>
      </c>
      <c r="J144" s="75" t="s">
        <v>67</v>
      </c>
      <c r="K144" s="75" t="b">
        <v>0</v>
      </c>
      <c r="L144" s="71">
        <v>2020</v>
      </c>
      <c r="M144" s="72">
        <v>0.0193</v>
      </c>
      <c r="N144" s="76">
        <v>41275</v>
      </c>
      <c r="O144" s="76">
        <v>41275</v>
      </c>
    </row>
    <row r="145" spans="1:15" ht="14.25">
      <c r="A145" s="73">
        <v>2013</v>
      </c>
      <c r="B145" s="74" t="s">
        <v>387</v>
      </c>
      <c r="C145" s="74" t="s">
        <v>388</v>
      </c>
      <c r="D145" s="75">
        <v>3007042</v>
      </c>
      <c r="E145" s="75">
        <v>2</v>
      </c>
      <c r="F145" s="75"/>
      <c r="G145" s="74">
        <v>2</v>
      </c>
      <c r="H145" s="74" t="s">
        <v>90</v>
      </c>
      <c r="I145" s="75"/>
      <c r="J145" s="75" t="s">
        <v>263</v>
      </c>
      <c r="K145" s="75" t="b">
        <v>1</v>
      </c>
      <c r="L145" s="71">
        <v>2017</v>
      </c>
      <c r="M145" s="72">
        <v>24500000</v>
      </c>
      <c r="N145" s="76">
        <v>41275</v>
      </c>
      <c r="O145" s="76">
        <v>41275</v>
      </c>
    </row>
    <row r="146" spans="1:15" ht="14.25">
      <c r="A146" s="73">
        <v>2013</v>
      </c>
      <c r="B146" s="74" t="s">
        <v>387</v>
      </c>
      <c r="C146" s="74" t="s">
        <v>388</v>
      </c>
      <c r="D146" s="75">
        <v>3007042</v>
      </c>
      <c r="E146" s="75">
        <v>2</v>
      </c>
      <c r="F146" s="75"/>
      <c r="G146" s="74">
        <v>470</v>
      </c>
      <c r="H146" s="74" t="s">
        <v>130</v>
      </c>
      <c r="I146" s="75" t="s">
        <v>391</v>
      </c>
      <c r="J146" s="75" t="s">
        <v>286</v>
      </c>
      <c r="K146" s="75" t="b">
        <v>0</v>
      </c>
      <c r="L146" s="71">
        <v>2016</v>
      </c>
      <c r="M146" s="72">
        <v>20</v>
      </c>
      <c r="N146" s="76">
        <v>41275</v>
      </c>
      <c r="O146" s="76">
        <v>41275</v>
      </c>
    </row>
    <row r="147" spans="1:15" ht="14.25">
      <c r="A147" s="73">
        <v>2013</v>
      </c>
      <c r="B147" s="74" t="s">
        <v>387</v>
      </c>
      <c r="C147" s="74" t="s">
        <v>388</v>
      </c>
      <c r="D147" s="75">
        <v>3007042</v>
      </c>
      <c r="E147" s="75">
        <v>2</v>
      </c>
      <c r="F147" s="75"/>
      <c r="G147" s="74">
        <v>210</v>
      </c>
      <c r="H147" s="74" t="s">
        <v>110</v>
      </c>
      <c r="I147" s="75"/>
      <c r="J147" s="75" t="s">
        <v>271</v>
      </c>
      <c r="K147" s="75" t="b">
        <v>1</v>
      </c>
      <c r="L147" s="71">
        <v>2019</v>
      </c>
      <c r="M147" s="72">
        <v>650000</v>
      </c>
      <c r="N147" s="76">
        <v>41275</v>
      </c>
      <c r="O147" s="76">
        <v>41275</v>
      </c>
    </row>
    <row r="148" spans="1:15" ht="14.25">
      <c r="A148" s="73">
        <v>2013</v>
      </c>
      <c r="B148" s="74" t="s">
        <v>387</v>
      </c>
      <c r="C148" s="74" t="s">
        <v>388</v>
      </c>
      <c r="D148" s="75">
        <v>3007042</v>
      </c>
      <c r="E148" s="75">
        <v>2</v>
      </c>
      <c r="F148" s="75"/>
      <c r="G148" s="74">
        <v>190</v>
      </c>
      <c r="H148" s="74">
        <v>6</v>
      </c>
      <c r="I148" s="75" t="s">
        <v>394</v>
      </c>
      <c r="J148" s="75" t="s">
        <v>109</v>
      </c>
      <c r="K148" s="75" t="b">
        <v>0</v>
      </c>
      <c r="L148" s="71">
        <v>2013</v>
      </c>
      <c r="M148" s="72">
        <v>2206219</v>
      </c>
      <c r="N148" s="76">
        <v>41275</v>
      </c>
      <c r="O148" s="76">
        <v>41275</v>
      </c>
    </row>
    <row r="149" spans="1:15" ht="14.25">
      <c r="A149" s="73">
        <v>2013</v>
      </c>
      <c r="B149" s="74" t="s">
        <v>387</v>
      </c>
      <c r="C149" s="74" t="s">
        <v>388</v>
      </c>
      <c r="D149" s="75">
        <v>3007042</v>
      </c>
      <c r="E149" s="75">
        <v>2</v>
      </c>
      <c r="F149" s="75"/>
      <c r="G149" s="74">
        <v>190</v>
      </c>
      <c r="H149" s="74">
        <v>6</v>
      </c>
      <c r="I149" s="75" t="s">
        <v>394</v>
      </c>
      <c r="J149" s="75" t="s">
        <v>109</v>
      </c>
      <c r="K149" s="75" t="b">
        <v>0</v>
      </c>
      <c r="L149" s="71">
        <v>2019</v>
      </c>
      <c r="M149" s="72">
        <v>1690000</v>
      </c>
      <c r="N149" s="76">
        <v>41275</v>
      </c>
      <c r="O149" s="76">
        <v>41275</v>
      </c>
    </row>
    <row r="150" spans="1:15" ht="14.25">
      <c r="A150" s="73">
        <v>2013</v>
      </c>
      <c r="B150" s="74" t="s">
        <v>387</v>
      </c>
      <c r="C150" s="74" t="s">
        <v>388</v>
      </c>
      <c r="D150" s="75">
        <v>3007042</v>
      </c>
      <c r="E150" s="75">
        <v>2</v>
      </c>
      <c r="F150" s="75"/>
      <c r="G150" s="74">
        <v>5</v>
      </c>
      <c r="H150" s="74" t="s">
        <v>92</v>
      </c>
      <c r="I150" s="75"/>
      <c r="J150" s="75" t="s">
        <v>265</v>
      </c>
      <c r="K150" s="75" t="b">
        <v>1</v>
      </c>
      <c r="L150" s="71">
        <v>2014</v>
      </c>
      <c r="M150" s="72">
        <v>634610</v>
      </c>
      <c r="N150" s="76">
        <v>41275</v>
      </c>
      <c r="O150" s="76">
        <v>41275</v>
      </c>
    </row>
    <row r="151" spans="1:15" ht="14.25">
      <c r="A151" s="73">
        <v>2013</v>
      </c>
      <c r="B151" s="74" t="s">
        <v>387</v>
      </c>
      <c r="C151" s="74" t="s">
        <v>388</v>
      </c>
      <c r="D151" s="75">
        <v>3007042</v>
      </c>
      <c r="E151" s="75">
        <v>2</v>
      </c>
      <c r="F151" s="75"/>
      <c r="G151" s="74">
        <v>450</v>
      </c>
      <c r="H151" s="74" t="s">
        <v>129</v>
      </c>
      <c r="I151" s="75" t="s">
        <v>392</v>
      </c>
      <c r="J151" s="75" t="s">
        <v>52</v>
      </c>
      <c r="K151" s="75" t="b">
        <v>0</v>
      </c>
      <c r="L151" s="71">
        <v>2013</v>
      </c>
      <c r="M151" s="72">
        <v>0.1085</v>
      </c>
      <c r="N151" s="76">
        <v>41275</v>
      </c>
      <c r="O151" s="76">
        <v>41275</v>
      </c>
    </row>
    <row r="152" spans="1:15" ht="14.25">
      <c r="A152" s="73">
        <v>2013</v>
      </c>
      <c r="B152" s="74" t="s">
        <v>387</v>
      </c>
      <c r="C152" s="74" t="s">
        <v>388</v>
      </c>
      <c r="D152" s="75">
        <v>3007042</v>
      </c>
      <c r="E152" s="75">
        <v>2</v>
      </c>
      <c r="F152" s="75"/>
      <c r="G152" s="74">
        <v>440</v>
      </c>
      <c r="H152" s="74">
        <v>20</v>
      </c>
      <c r="I152" s="75" t="s">
        <v>399</v>
      </c>
      <c r="J152" s="75" t="s">
        <v>128</v>
      </c>
      <c r="K152" s="75" t="b">
        <v>1</v>
      </c>
      <c r="L152" s="71">
        <v>2014</v>
      </c>
      <c r="M152" s="72">
        <v>0.05</v>
      </c>
      <c r="N152" s="76">
        <v>41275</v>
      </c>
      <c r="O152" s="76">
        <v>41275</v>
      </c>
    </row>
    <row r="153" spans="1:15" ht="14.25">
      <c r="A153" s="73">
        <v>2013</v>
      </c>
      <c r="B153" s="74" t="s">
        <v>387</v>
      </c>
      <c r="C153" s="74" t="s">
        <v>388</v>
      </c>
      <c r="D153" s="75">
        <v>3007042</v>
      </c>
      <c r="E153" s="75">
        <v>2</v>
      </c>
      <c r="F153" s="75"/>
      <c r="G153" s="74">
        <v>230</v>
      </c>
      <c r="H153" s="74" t="s">
        <v>113</v>
      </c>
      <c r="I153" s="75"/>
      <c r="J153" s="75" t="s">
        <v>272</v>
      </c>
      <c r="K153" s="75" t="b">
        <v>1</v>
      </c>
      <c r="L153" s="71">
        <v>2013</v>
      </c>
      <c r="M153" s="72">
        <v>400000</v>
      </c>
      <c r="N153" s="76">
        <v>41275</v>
      </c>
      <c r="O153" s="76">
        <v>41275</v>
      </c>
    </row>
    <row r="154" spans="1:15" ht="14.25">
      <c r="A154" s="73">
        <v>2013</v>
      </c>
      <c r="B154" s="74" t="s">
        <v>387</v>
      </c>
      <c r="C154" s="74" t="s">
        <v>388</v>
      </c>
      <c r="D154" s="75">
        <v>3007042</v>
      </c>
      <c r="E154" s="75">
        <v>2</v>
      </c>
      <c r="F154" s="75"/>
      <c r="G154" s="74">
        <v>530</v>
      </c>
      <c r="H154" s="74">
        <v>26</v>
      </c>
      <c r="I154" s="75" t="s">
        <v>404</v>
      </c>
      <c r="J154" s="75" t="s">
        <v>56</v>
      </c>
      <c r="K154" s="75" t="b">
        <v>1</v>
      </c>
      <c r="L154" s="71">
        <v>2016</v>
      </c>
      <c r="M154" s="72">
        <v>24018000</v>
      </c>
      <c r="N154" s="76">
        <v>41275</v>
      </c>
      <c r="O154" s="76">
        <v>41275</v>
      </c>
    </row>
    <row r="155" spans="1:15" ht="14.25">
      <c r="A155" s="73">
        <v>2013</v>
      </c>
      <c r="B155" s="74" t="s">
        <v>387</v>
      </c>
      <c r="C155" s="74" t="s">
        <v>388</v>
      </c>
      <c r="D155" s="75">
        <v>3007042</v>
      </c>
      <c r="E155" s="75">
        <v>2</v>
      </c>
      <c r="F155" s="75"/>
      <c r="G155" s="74">
        <v>9</v>
      </c>
      <c r="H155" s="74">
        <v>2</v>
      </c>
      <c r="I155" s="75"/>
      <c r="J155" s="75" t="s">
        <v>3</v>
      </c>
      <c r="K155" s="75" t="b">
        <v>1</v>
      </c>
      <c r="L155" s="71">
        <v>2016</v>
      </c>
      <c r="M155" s="72">
        <v>22588000</v>
      </c>
      <c r="N155" s="76">
        <v>41275</v>
      </c>
      <c r="O155" s="76">
        <v>41275</v>
      </c>
    </row>
    <row r="156" spans="1:15" ht="14.25">
      <c r="A156" s="73">
        <v>2013</v>
      </c>
      <c r="B156" s="74" t="s">
        <v>387</v>
      </c>
      <c r="C156" s="74" t="s">
        <v>388</v>
      </c>
      <c r="D156" s="75">
        <v>3007042</v>
      </c>
      <c r="E156" s="75">
        <v>2</v>
      </c>
      <c r="F156" s="75"/>
      <c r="G156" s="74">
        <v>260</v>
      </c>
      <c r="H156" s="74">
        <v>9</v>
      </c>
      <c r="I156" s="75" t="s">
        <v>405</v>
      </c>
      <c r="J156" s="75" t="s">
        <v>116</v>
      </c>
      <c r="K156" s="75" t="b">
        <v>0</v>
      </c>
      <c r="L156" s="71">
        <v>2016</v>
      </c>
      <c r="M156" s="72">
        <v>330000</v>
      </c>
      <c r="N156" s="76">
        <v>41275</v>
      </c>
      <c r="O156" s="76">
        <v>41275</v>
      </c>
    </row>
    <row r="157" spans="1:15" ht="14.25">
      <c r="A157" s="73">
        <v>2013</v>
      </c>
      <c r="B157" s="74" t="s">
        <v>387</v>
      </c>
      <c r="C157" s="74" t="s">
        <v>388</v>
      </c>
      <c r="D157" s="75">
        <v>3007042</v>
      </c>
      <c r="E157" s="75">
        <v>2</v>
      </c>
      <c r="F157" s="75"/>
      <c r="G157" s="74">
        <v>4</v>
      </c>
      <c r="H157" s="74" t="s">
        <v>91</v>
      </c>
      <c r="I157" s="75"/>
      <c r="J157" s="75" t="s">
        <v>264</v>
      </c>
      <c r="K157" s="75" t="b">
        <v>1</v>
      </c>
      <c r="L157" s="71">
        <v>2013</v>
      </c>
      <c r="M157" s="72">
        <v>164966</v>
      </c>
      <c r="N157" s="76">
        <v>41275</v>
      </c>
      <c r="O157" s="76">
        <v>41275</v>
      </c>
    </row>
    <row r="158" spans="1:15" ht="14.25">
      <c r="A158" s="73">
        <v>2013</v>
      </c>
      <c r="B158" s="74" t="s">
        <v>387</v>
      </c>
      <c r="C158" s="74" t="s">
        <v>388</v>
      </c>
      <c r="D158" s="75">
        <v>3007042</v>
      </c>
      <c r="E158" s="75">
        <v>2</v>
      </c>
      <c r="F158" s="75"/>
      <c r="G158" s="74">
        <v>540</v>
      </c>
      <c r="H158" s="74">
        <v>27</v>
      </c>
      <c r="I158" s="75" t="s">
        <v>390</v>
      </c>
      <c r="J158" s="75" t="s">
        <v>45</v>
      </c>
      <c r="K158" s="75" t="b">
        <v>0</v>
      </c>
      <c r="L158" s="71">
        <v>2013</v>
      </c>
      <c r="M158" s="72">
        <v>24766745</v>
      </c>
      <c r="N158" s="76">
        <v>41275</v>
      </c>
      <c r="O158" s="76">
        <v>41275</v>
      </c>
    </row>
    <row r="159" spans="1:15" ht="14.25">
      <c r="A159" s="73">
        <v>2013</v>
      </c>
      <c r="B159" s="74" t="s">
        <v>387</v>
      </c>
      <c r="C159" s="74" t="s">
        <v>388</v>
      </c>
      <c r="D159" s="75">
        <v>3007042</v>
      </c>
      <c r="E159" s="75">
        <v>2</v>
      </c>
      <c r="F159" s="75"/>
      <c r="G159" s="74">
        <v>570</v>
      </c>
      <c r="H159" s="74">
        <v>30</v>
      </c>
      <c r="I159" s="75" t="s">
        <v>400</v>
      </c>
      <c r="J159" s="75" t="s">
        <v>292</v>
      </c>
      <c r="K159" s="75" t="b">
        <v>0</v>
      </c>
      <c r="L159" s="71">
        <v>2013</v>
      </c>
      <c r="M159" s="72">
        <v>525000</v>
      </c>
      <c r="N159" s="76">
        <v>41275</v>
      </c>
      <c r="O159" s="76">
        <v>41275</v>
      </c>
    </row>
    <row r="160" spans="1:15" ht="14.25">
      <c r="A160" s="73">
        <v>2013</v>
      </c>
      <c r="B160" s="74" t="s">
        <v>387</v>
      </c>
      <c r="C160" s="74" t="s">
        <v>388</v>
      </c>
      <c r="D160" s="75">
        <v>3007042</v>
      </c>
      <c r="E160" s="75">
        <v>2</v>
      </c>
      <c r="F160" s="75"/>
      <c r="G160" s="74">
        <v>240</v>
      </c>
      <c r="H160" s="74" t="s">
        <v>114</v>
      </c>
      <c r="I160" s="75"/>
      <c r="J160" s="75" t="s">
        <v>273</v>
      </c>
      <c r="K160" s="75" t="b">
        <v>1</v>
      </c>
      <c r="L160" s="71">
        <v>2020</v>
      </c>
      <c r="M160" s="72">
        <v>100000</v>
      </c>
      <c r="N160" s="76">
        <v>41275</v>
      </c>
      <c r="O160" s="76">
        <v>41275</v>
      </c>
    </row>
    <row r="161" spans="1:15" ht="14.25">
      <c r="A161" s="73">
        <v>2013</v>
      </c>
      <c r="B161" s="74" t="s">
        <v>387</v>
      </c>
      <c r="C161" s="74" t="s">
        <v>388</v>
      </c>
      <c r="D161" s="75">
        <v>3007042</v>
      </c>
      <c r="E161" s="75">
        <v>2</v>
      </c>
      <c r="F161" s="75"/>
      <c r="G161" s="74">
        <v>451</v>
      </c>
      <c r="H161" s="74" t="s">
        <v>259</v>
      </c>
      <c r="I161" s="75" t="s">
        <v>392</v>
      </c>
      <c r="J161" s="75" t="s">
        <v>284</v>
      </c>
      <c r="K161" s="75" t="b">
        <v>0</v>
      </c>
      <c r="L161" s="71">
        <v>2020</v>
      </c>
      <c r="M161" s="72">
        <v>0.0583</v>
      </c>
      <c r="N161" s="76">
        <v>41275</v>
      </c>
      <c r="O161" s="76">
        <v>41275</v>
      </c>
    </row>
    <row r="162" spans="1:15" ht="14.25">
      <c r="A162" s="73">
        <v>2013</v>
      </c>
      <c r="B162" s="74" t="s">
        <v>387</v>
      </c>
      <c r="C162" s="74" t="s">
        <v>388</v>
      </c>
      <c r="D162" s="75">
        <v>3007042</v>
      </c>
      <c r="E162" s="75">
        <v>2</v>
      </c>
      <c r="F162" s="75"/>
      <c r="G162" s="74">
        <v>2</v>
      </c>
      <c r="H162" s="74" t="s">
        <v>90</v>
      </c>
      <c r="I162" s="75"/>
      <c r="J162" s="75" t="s">
        <v>263</v>
      </c>
      <c r="K162" s="75" t="b">
        <v>1</v>
      </c>
      <c r="L162" s="71">
        <v>2018</v>
      </c>
      <c r="M162" s="72">
        <v>24800000</v>
      </c>
      <c r="N162" s="76">
        <v>41275</v>
      </c>
      <c r="O162" s="76">
        <v>41275</v>
      </c>
    </row>
    <row r="163" spans="1:15" ht="14.25">
      <c r="A163" s="73">
        <v>2013</v>
      </c>
      <c r="B163" s="74" t="s">
        <v>387</v>
      </c>
      <c r="C163" s="74" t="s">
        <v>388</v>
      </c>
      <c r="D163" s="75">
        <v>3007042</v>
      </c>
      <c r="E163" s="75">
        <v>2</v>
      </c>
      <c r="F163" s="75"/>
      <c r="G163" s="74">
        <v>440</v>
      </c>
      <c r="H163" s="74">
        <v>20</v>
      </c>
      <c r="I163" s="75" t="s">
        <v>399</v>
      </c>
      <c r="J163" s="75" t="s">
        <v>128</v>
      </c>
      <c r="K163" s="75" t="b">
        <v>1</v>
      </c>
      <c r="L163" s="71">
        <v>2016</v>
      </c>
      <c r="M163" s="72">
        <v>0.0458</v>
      </c>
      <c r="N163" s="76">
        <v>41275</v>
      </c>
      <c r="O163" s="76">
        <v>41275</v>
      </c>
    </row>
    <row r="164" spans="1:15" ht="14.25">
      <c r="A164" s="73">
        <v>2013</v>
      </c>
      <c r="B164" s="74" t="s">
        <v>387</v>
      </c>
      <c r="C164" s="74" t="s">
        <v>388</v>
      </c>
      <c r="D164" s="75">
        <v>3007042</v>
      </c>
      <c r="E164" s="75">
        <v>2</v>
      </c>
      <c r="F164" s="75"/>
      <c r="G164" s="74">
        <v>210</v>
      </c>
      <c r="H164" s="74" t="s">
        <v>110</v>
      </c>
      <c r="I164" s="75"/>
      <c r="J164" s="75" t="s">
        <v>271</v>
      </c>
      <c r="K164" s="75" t="b">
        <v>1</v>
      </c>
      <c r="L164" s="71">
        <v>2020</v>
      </c>
      <c r="M164" s="72">
        <v>640000</v>
      </c>
      <c r="N164" s="76">
        <v>41275</v>
      </c>
      <c r="O164" s="76">
        <v>41275</v>
      </c>
    </row>
    <row r="165" spans="1:15" ht="14.25">
      <c r="A165" s="73">
        <v>2013</v>
      </c>
      <c r="B165" s="74" t="s">
        <v>387</v>
      </c>
      <c r="C165" s="74" t="s">
        <v>388</v>
      </c>
      <c r="D165" s="75">
        <v>3007042</v>
      </c>
      <c r="E165" s="75">
        <v>2</v>
      </c>
      <c r="F165" s="75"/>
      <c r="G165" s="74">
        <v>160</v>
      </c>
      <c r="H165" s="74">
        <v>3</v>
      </c>
      <c r="I165" s="75" t="s">
        <v>410</v>
      </c>
      <c r="J165" s="75" t="s">
        <v>105</v>
      </c>
      <c r="K165" s="75" t="b">
        <v>1</v>
      </c>
      <c r="L165" s="71">
        <v>2015</v>
      </c>
      <c r="M165" s="72">
        <v>1475000</v>
      </c>
      <c r="N165" s="76">
        <v>41275</v>
      </c>
      <c r="O165" s="76">
        <v>41275</v>
      </c>
    </row>
    <row r="166" spans="1:15" ht="14.25">
      <c r="A166" s="73">
        <v>2013</v>
      </c>
      <c r="B166" s="74" t="s">
        <v>387</v>
      </c>
      <c r="C166" s="74" t="s">
        <v>388</v>
      </c>
      <c r="D166" s="75">
        <v>3007042</v>
      </c>
      <c r="E166" s="75">
        <v>2</v>
      </c>
      <c r="F166" s="75"/>
      <c r="G166" s="74">
        <v>370</v>
      </c>
      <c r="H166" s="74">
        <v>16</v>
      </c>
      <c r="I166" s="75"/>
      <c r="J166" s="75" t="s">
        <v>124</v>
      </c>
      <c r="K166" s="75" t="b">
        <v>1</v>
      </c>
      <c r="L166" s="71">
        <v>2018</v>
      </c>
      <c r="M166" s="72">
        <v>1000000</v>
      </c>
      <c r="N166" s="76">
        <v>41275</v>
      </c>
      <c r="O166" s="76">
        <v>41275</v>
      </c>
    </row>
    <row r="167" spans="1:15" ht="14.25">
      <c r="A167" s="73">
        <v>2013</v>
      </c>
      <c r="B167" s="74" t="s">
        <v>387</v>
      </c>
      <c r="C167" s="74" t="s">
        <v>388</v>
      </c>
      <c r="D167" s="75">
        <v>3007042</v>
      </c>
      <c r="E167" s="75">
        <v>2</v>
      </c>
      <c r="F167" s="75"/>
      <c r="G167" s="74">
        <v>9</v>
      </c>
      <c r="H167" s="74">
        <v>2</v>
      </c>
      <c r="I167" s="75"/>
      <c r="J167" s="75" t="s">
        <v>3</v>
      </c>
      <c r="K167" s="75" t="b">
        <v>1</v>
      </c>
      <c r="L167" s="71">
        <v>2018</v>
      </c>
      <c r="M167" s="72">
        <v>23175000</v>
      </c>
      <c r="N167" s="76">
        <v>41275</v>
      </c>
      <c r="O167" s="76">
        <v>41275</v>
      </c>
    </row>
    <row r="168" spans="1:15" ht="14.25">
      <c r="A168" s="73">
        <v>2013</v>
      </c>
      <c r="B168" s="74" t="s">
        <v>387</v>
      </c>
      <c r="C168" s="74" t="s">
        <v>388</v>
      </c>
      <c r="D168" s="75">
        <v>3007042</v>
      </c>
      <c r="E168" s="75">
        <v>2</v>
      </c>
      <c r="F168" s="75"/>
      <c r="G168" s="74">
        <v>420</v>
      </c>
      <c r="H168" s="74">
        <v>19</v>
      </c>
      <c r="I168" s="75" t="s">
        <v>401</v>
      </c>
      <c r="J168" s="75" t="s">
        <v>70</v>
      </c>
      <c r="K168" s="75" t="b">
        <v>1</v>
      </c>
      <c r="L168" s="71">
        <v>2016</v>
      </c>
      <c r="M168" s="72">
        <v>0.0458</v>
      </c>
      <c r="N168" s="76">
        <v>41275</v>
      </c>
      <c r="O168" s="76">
        <v>41275</v>
      </c>
    </row>
    <row r="169" spans="1:15" ht="14.25">
      <c r="A169" s="73">
        <v>2013</v>
      </c>
      <c r="B169" s="74" t="s">
        <v>387</v>
      </c>
      <c r="C169" s="74" t="s">
        <v>388</v>
      </c>
      <c r="D169" s="75">
        <v>3007042</v>
      </c>
      <c r="E169" s="75">
        <v>2</v>
      </c>
      <c r="F169" s="75"/>
      <c r="G169" s="74">
        <v>450</v>
      </c>
      <c r="H169" s="74" t="s">
        <v>129</v>
      </c>
      <c r="I169" s="75" t="s">
        <v>392</v>
      </c>
      <c r="J169" s="75" t="s">
        <v>52</v>
      </c>
      <c r="K169" s="75" t="b">
        <v>0</v>
      </c>
      <c r="L169" s="71">
        <v>2021</v>
      </c>
      <c r="M169" s="72">
        <v>0.0606</v>
      </c>
      <c r="N169" s="76">
        <v>41275</v>
      </c>
      <c r="O169" s="76">
        <v>41275</v>
      </c>
    </row>
    <row r="170" spans="1:15" ht="14.25">
      <c r="A170" s="73">
        <v>2013</v>
      </c>
      <c r="B170" s="74" t="s">
        <v>387</v>
      </c>
      <c r="C170" s="74" t="s">
        <v>388</v>
      </c>
      <c r="D170" s="75">
        <v>3007042</v>
      </c>
      <c r="E170" s="75">
        <v>2</v>
      </c>
      <c r="F170" s="75"/>
      <c r="G170" s="74">
        <v>420</v>
      </c>
      <c r="H170" s="74">
        <v>19</v>
      </c>
      <c r="I170" s="75" t="s">
        <v>401</v>
      </c>
      <c r="J170" s="75" t="s">
        <v>70</v>
      </c>
      <c r="K170" s="75" t="b">
        <v>1</v>
      </c>
      <c r="L170" s="71">
        <v>2019</v>
      </c>
      <c r="M170" s="72">
        <v>0.0319</v>
      </c>
      <c r="N170" s="76">
        <v>41275</v>
      </c>
      <c r="O170" s="76">
        <v>41275</v>
      </c>
    </row>
    <row r="171" spans="1:15" ht="14.25">
      <c r="A171" s="73">
        <v>2013</v>
      </c>
      <c r="B171" s="74" t="s">
        <v>387</v>
      </c>
      <c r="C171" s="74" t="s">
        <v>388</v>
      </c>
      <c r="D171" s="75">
        <v>3007042</v>
      </c>
      <c r="E171" s="75">
        <v>2</v>
      </c>
      <c r="F171" s="75"/>
      <c r="G171" s="74">
        <v>460</v>
      </c>
      <c r="H171" s="74">
        <v>21</v>
      </c>
      <c r="I171" s="75" t="s">
        <v>406</v>
      </c>
      <c r="J171" s="75" t="s">
        <v>285</v>
      </c>
      <c r="K171" s="75" t="b">
        <v>1</v>
      </c>
      <c r="L171" s="71">
        <v>2013</v>
      </c>
      <c r="M171" s="72">
        <v>0.0387</v>
      </c>
      <c r="N171" s="76">
        <v>41275</v>
      </c>
      <c r="O171" s="76">
        <v>41275</v>
      </c>
    </row>
    <row r="172" spans="1:15" ht="14.25">
      <c r="A172" s="73">
        <v>2013</v>
      </c>
      <c r="B172" s="74" t="s">
        <v>387</v>
      </c>
      <c r="C172" s="74" t="s">
        <v>388</v>
      </c>
      <c r="D172" s="75">
        <v>3007042</v>
      </c>
      <c r="E172" s="75">
        <v>2</v>
      </c>
      <c r="F172" s="75"/>
      <c r="G172" s="74">
        <v>460</v>
      </c>
      <c r="H172" s="74">
        <v>21</v>
      </c>
      <c r="I172" s="75" t="s">
        <v>406</v>
      </c>
      <c r="J172" s="75" t="s">
        <v>285</v>
      </c>
      <c r="K172" s="75" t="b">
        <v>1</v>
      </c>
      <c r="L172" s="71">
        <v>2015</v>
      </c>
      <c r="M172" s="72">
        <v>0.0495</v>
      </c>
      <c r="N172" s="76">
        <v>41275</v>
      </c>
      <c r="O172" s="76">
        <v>41275</v>
      </c>
    </row>
    <row r="173" spans="1:15" ht="14.25">
      <c r="A173" s="73">
        <v>2013</v>
      </c>
      <c r="B173" s="74" t="s">
        <v>387</v>
      </c>
      <c r="C173" s="74" t="s">
        <v>388</v>
      </c>
      <c r="D173" s="75">
        <v>3007042</v>
      </c>
      <c r="E173" s="75">
        <v>2</v>
      </c>
      <c r="F173" s="75"/>
      <c r="G173" s="74">
        <v>420</v>
      </c>
      <c r="H173" s="74">
        <v>19</v>
      </c>
      <c r="I173" s="75" t="s">
        <v>401</v>
      </c>
      <c r="J173" s="75" t="s">
        <v>70</v>
      </c>
      <c r="K173" s="75" t="b">
        <v>1</v>
      </c>
      <c r="L173" s="71">
        <v>2015</v>
      </c>
      <c r="M173" s="72">
        <v>0.0495</v>
      </c>
      <c r="N173" s="76">
        <v>41275</v>
      </c>
      <c r="O173" s="76">
        <v>41275</v>
      </c>
    </row>
    <row r="174" spans="1:15" ht="14.25">
      <c r="A174" s="73">
        <v>2013</v>
      </c>
      <c r="B174" s="74" t="s">
        <v>387</v>
      </c>
      <c r="C174" s="74" t="s">
        <v>388</v>
      </c>
      <c r="D174" s="75">
        <v>3007042</v>
      </c>
      <c r="E174" s="75">
        <v>2</v>
      </c>
      <c r="F174" s="75"/>
      <c r="G174" s="74">
        <v>450</v>
      </c>
      <c r="H174" s="74" t="s">
        <v>129</v>
      </c>
      <c r="I174" s="75" t="s">
        <v>392</v>
      </c>
      <c r="J174" s="75" t="s">
        <v>52</v>
      </c>
      <c r="K174" s="75" t="b">
        <v>0</v>
      </c>
      <c r="L174" s="71">
        <v>2016</v>
      </c>
      <c r="M174" s="72">
        <v>0.0478</v>
      </c>
      <c r="N174" s="76">
        <v>41275</v>
      </c>
      <c r="O174" s="76">
        <v>41275</v>
      </c>
    </row>
    <row r="175" spans="1:15" ht="14.25">
      <c r="A175" s="73">
        <v>2013</v>
      </c>
      <c r="B175" s="74" t="s">
        <v>387</v>
      </c>
      <c r="C175" s="74" t="s">
        <v>388</v>
      </c>
      <c r="D175" s="75">
        <v>3007042</v>
      </c>
      <c r="E175" s="75">
        <v>2</v>
      </c>
      <c r="F175" s="75"/>
      <c r="G175" s="74">
        <v>1</v>
      </c>
      <c r="H175" s="74">
        <v>1</v>
      </c>
      <c r="I175" s="75" t="s">
        <v>411</v>
      </c>
      <c r="J175" s="75" t="s">
        <v>89</v>
      </c>
      <c r="K175" s="75" t="b">
        <v>1</v>
      </c>
      <c r="L175" s="71">
        <v>2017</v>
      </c>
      <c r="M175" s="72">
        <v>24500000</v>
      </c>
      <c r="N175" s="76">
        <v>41275</v>
      </c>
      <c r="O175" s="76">
        <v>41275</v>
      </c>
    </row>
    <row r="176" spans="1:15" ht="14.25">
      <c r="A176" s="73">
        <v>2013</v>
      </c>
      <c r="B176" s="74" t="s">
        <v>387</v>
      </c>
      <c r="C176" s="74" t="s">
        <v>388</v>
      </c>
      <c r="D176" s="75">
        <v>3007042</v>
      </c>
      <c r="E176" s="75">
        <v>2</v>
      </c>
      <c r="F176" s="75"/>
      <c r="G176" s="74">
        <v>530</v>
      </c>
      <c r="H176" s="74">
        <v>26</v>
      </c>
      <c r="I176" s="75" t="s">
        <v>404</v>
      </c>
      <c r="J176" s="75" t="s">
        <v>56</v>
      </c>
      <c r="K176" s="75" t="b">
        <v>1</v>
      </c>
      <c r="L176" s="71">
        <v>2013</v>
      </c>
      <c r="M176" s="72">
        <v>23266745</v>
      </c>
      <c r="N176" s="76">
        <v>41275</v>
      </c>
      <c r="O176" s="76">
        <v>41275</v>
      </c>
    </row>
    <row r="177" spans="1:15" ht="14.25">
      <c r="A177" s="73">
        <v>2013</v>
      </c>
      <c r="B177" s="74" t="s">
        <v>387</v>
      </c>
      <c r="C177" s="74" t="s">
        <v>388</v>
      </c>
      <c r="D177" s="75">
        <v>3007042</v>
      </c>
      <c r="E177" s="75">
        <v>2</v>
      </c>
      <c r="F177" s="75"/>
      <c r="G177" s="74">
        <v>530</v>
      </c>
      <c r="H177" s="74">
        <v>26</v>
      </c>
      <c r="I177" s="75" t="s">
        <v>404</v>
      </c>
      <c r="J177" s="75" t="s">
        <v>56</v>
      </c>
      <c r="K177" s="75" t="b">
        <v>1</v>
      </c>
      <c r="L177" s="71">
        <v>2021</v>
      </c>
      <c r="M177" s="72">
        <v>25360000</v>
      </c>
      <c r="N177" s="76">
        <v>41275</v>
      </c>
      <c r="O177" s="76">
        <v>41275</v>
      </c>
    </row>
    <row r="178" spans="1:15" ht="14.25">
      <c r="A178" s="73">
        <v>2013</v>
      </c>
      <c r="B178" s="74" t="s">
        <v>387</v>
      </c>
      <c r="C178" s="74" t="s">
        <v>388</v>
      </c>
      <c r="D178" s="75">
        <v>3007042</v>
      </c>
      <c r="E178" s="75">
        <v>2</v>
      </c>
      <c r="F178" s="75"/>
      <c r="G178" s="74">
        <v>330</v>
      </c>
      <c r="H178" s="74">
        <v>13</v>
      </c>
      <c r="I178" s="75"/>
      <c r="J178" s="75" t="s">
        <v>274</v>
      </c>
      <c r="K178" s="75" t="b">
        <v>1</v>
      </c>
      <c r="L178" s="71">
        <v>2018</v>
      </c>
      <c r="M178" s="72">
        <v>1780000</v>
      </c>
      <c r="N178" s="76">
        <v>41275</v>
      </c>
      <c r="O178" s="76">
        <v>41275</v>
      </c>
    </row>
    <row r="179" spans="1:15" ht="14.25">
      <c r="A179" s="73">
        <v>2013</v>
      </c>
      <c r="B179" s="74" t="s">
        <v>387</v>
      </c>
      <c r="C179" s="74" t="s">
        <v>388</v>
      </c>
      <c r="D179" s="75">
        <v>3007042</v>
      </c>
      <c r="E179" s="75">
        <v>2</v>
      </c>
      <c r="F179" s="75"/>
      <c r="G179" s="74">
        <v>530</v>
      </c>
      <c r="H179" s="74">
        <v>26</v>
      </c>
      <c r="I179" s="75" t="s">
        <v>404</v>
      </c>
      <c r="J179" s="75" t="s">
        <v>56</v>
      </c>
      <c r="K179" s="75" t="b">
        <v>1</v>
      </c>
      <c r="L179" s="71">
        <v>2017</v>
      </c>
      <c r="M179" s="72">
        <v>24500000</v>
      </c>
      <c r="N179" s="76">
        <v>41275</v>
      </c>
      <c r="O179" s="76">
        <v>41275</v>
      </c>
    </row>
    <row r="180" spans="1:15" ht="14.25">
      <c r="A180" s="73">
        <v>2013</v>
      </c>
      <c r="B180" s="74" t="s">
        <v>387</v>
      </c>
      <c r="C180" s="74" t="s">
        <v>388</v>
      </c>
      <c r="D180" s="75">
        <v>3007042</v>
      </c>
      <c r="E180" s="75">
        <v>2</v>
      </c>
      <c r="F180" s="75"/>
      <c r="G180" s="74">
        <v>9</v>
      </c>
      <c r="H180" s="74">
        <v>2</v>
      </c>
      <c r="I180" s="75"/>
      <c r="J180" s="75" t="s">
        <v>3</v>
      </c>
      <c r="K180" s="75" t="b">
        <v>1</v>
      </c>
      <c r="L180" s="71">
        <v>2013</v>
      </c>
      <c r="M180" s="72">
        <v>21085526</v>
      </c>
      <c r="N180" s="76">
        <v>41275</v>
      </c>
      <c r="O180" s="76">
        <v>41275</v>
      </c>
    </row>
    <row r="181" spans="1:15" ht="14.25">
      <c r="A181" s="73">
        <v>2013</v>
      </c>
      <c r="B181" s="74" t="s">
        <v>387</v>
      </c>
      <c r="C181" s="74" t="s">
        <v>388</v>
      </c>
      <c r="D181" s="75">
        <v>3007042</v>
      </c>
      <c r="E181" s="75">
        <v>2</v>
      </c>
      <c r="F181" s="75"/>
      <c r="G181" s="74">
        <v>480</v>
      </c>
      <c r="H181" s="74">
        <v>22</v>
      </c>
      <c r="I181" s="75" t="s">
        <v>393</v>
      </c>
      <c r="J181" s="75" t="s">
        <v>288</v>
      </c>
      <c r="K181" s="75" t="b">
        <v>0</v>
      </c>
      <c r="L181" s="71">
        <v>2020</v>
      </c>
      <c r="M181" s="72">
        <v>0.0292</v>
      </c>
      <c r="N181" s="76">
        <v>41275</v>
      </c>
      <c r="O181" s="76">
        <v>41275</v>
      </c>
    </row>
    <row r="182" spans="1:15" ht="14.25">
      <c r="A182" s="73">
        <v>2013</v>
      </c>
      <c r="B182" s="74" t="s">
        <v>387</v>
      </c>
      <c r="C182" s="74" t="s">
        <v>388</v>
      </c>
      <c r="D182" s="75">
        <v>3007042</v>
      </c>
      <c r="E182" s="75">
        <v>2</v>
      </c>
      <c r="F182" s="75"/>
      <c r="G182" s="74">
        <v>550</v>
      </c>
      <c r="H182" s="74">
        <v>28</v>
      </c>
      <c r="I182" s="75" t="s">
        <v>398</v>
      </c>
      <c r="J182" s="75" t="s">
        <v>47</v>
      </c>
      <c r="K182" s="75" t="b">
        <v>0</v>
      </c>
      <c r="L182" s="71">
        <v>2017</v>
      </c>
      <c r="M182" s="72">
        <v>850000</v>
      </c>
      <c r="N182" s="76">
        <v>41275</v>
      </c>
      <c r="O182" s="76">
        <v>41275</v>
      </c>
    </row>
    <row r="183" spans="1:15" ht="14.25">
      <c r="A183" s="73">
        <v>2013</v>
      </c>
      <c r="B183" s="74" t="s">
        <v>387</v>
      </c>
      <c r="C183" s="74" t="s">
        <v>388</v>
      </c>
      <c r="D183" s="75">
        <v>3007042</v>
      </c>
      <c r="E183" s="75">
        <v>2</v>
      </c>
      <c r="F183" s="75"/>
      <c r="G183" s="74">
        <v>250</v>
      </c>
      <c r="H183" s="74">
        <v>8</v>
      </c>
      <c r="I183" s="75"/>
      <c r="J183" s="75" t="s">
        <v>115</v>
      </c>
      <c r="K183" s="75" t="b">
        <v>0</v>
      </c>
      <c r="L183" s="71">
        <v>2013</v>
      </c>
      <c r="M183" s="72">
        <v>25000</v>
      </c>
      <c r="N183" s="76">
        <v>41275</v>
      </c>
      <c r="O183" s="76">
        <v>41275</v>
      </c>
    </row>
    <row r="184" spans="1:15" ht="14.25">
      <c r="A184" s="73">
        <v>2013</v>
      </c>
      <c r="B184" s="74" t="s">
        <v>387</v>
      </c>
      <c r="C184" s="74" t="s">
        <v>388</v>
      </c>
      <c r="D184" s="75">
        <v>3007042</v>
      </c>
      <c r="E184" s="75">
        <v>2</v>
      </c>
      <c r="F184" s="75"/>
      <c r="G184" s="74">
        <v>480</v>
      </c>
      <c r="H184" s="74">
        <v>22</v>
      </c>
      <c r="I184" s="75" t="s">
        <v>393</v>
      </c>
      <c r="J184" s="75" t="s">
        <v>288</v>
      </c>
      <c r="K184" s="75" t="b">
        <v>0</v>
      </c>
      <c r="L184" s="71">
        <v>2018</v>
      </c>
      <c r="M184" s="72">
        <v>0.0494</v>
      </c>
      <c r="N184" s="76">
        <v>41275</v>
      </c>
      <c r="O184" s="76">
        <v>41275</v>
      </c>
    </row>
    <row r="185" spans="1:15" ht="14.25">
      <c r="A185" s="73">
        <v>2013</v>
      </c>
      <c r="B185" s="74" t="s">
        <v>387</v>
      </c>
      <c r="C185" s="74" t="s">
        <v>388</v>
      </c>
      <c r="D185" s="75">
        <v>3007042</v>
      </c>
      <c r="E185" s="75">
        <v>2</v>
      </c>
      <c r="F185" s="75"/>
      <c r="G185" s="74">
        <v>300</v>
      </c>
      <c r="H185" s="74">
        <v>11</v>
      </c>
      <c r="I185" s="75"/>
      <c r="J185" s="75" t="s">
        <v>60</v>
      </c>
      <c r="K185" s="75" t="b">
        <v>1</v>
      </c>
      <c r="L185" s="71">
        <v>2014</v>
      </c>
      <c r="M185" s="72">
        <v>1000000</v>
      </c>
      <c r="N185" s="76">
        <v>41275</v>
      </c>
      <c r="O185" s="76">
        <v>41275</v>
      </c>
    </row>
    <row r="186" spans="1:15" ht="14.25">
      <c r="A186" s="73">
        <v>2013</v>
      </c>
      <c r="B186" s="74" t="s">
        <v>387</v>
      </c>
      <c r="C186" s="74" t="s">
        <v>388</v>
      </c>
      <c r="D186" s="75">
        <v>3007042</v>
      </c>
      <c r="E186" s="75">
        <v>2</v>
      </c>
      <c r="F186" s="75"/>
      <c r="G186" s="74">
        <v>471</v>
      </c>
      <c r="H186" s="74" t="s">
        <v>260</v>
      </c>
      <c r="I186" s="75" t="s">
        <v>391</v>
      </c>
      <c r="J186" s="75" t="s">
        <v>287</v>
      </c>
      <c r="K186" s="75" t="b">
        <v>0</v>
      </c>
      <c r="L186" s="71">
        <v>2019</v>
      </c>
      <c r="M186" s="72">
        <v>212</v>
      </c>
      <c r="N186" s="76">
        <v>41275</v>
      </c>
      <c r="O186" s="76">
        <v>41275</v>
      </c>
    </row>
    <row r="187" spans="1:15" ht="14.25">
      <c r="A187" s="73">
        <v>2013</v>
      </c>
      <c r="B187" s="74" t="s">
        <v>387</v>
      </c>
      <c r="C187" s="74" t="s">
        <v>388</v>
      </c>
      <c r="D187" s="75">
        <v>3007042</v>
      </c>
      <c r="E187" s="75">
        <v>2</v>
      </c>
      <c r="F187" s="75"/>
      <c r="G187" s="74">
        <v>570</v>
      </c>
      <c r="H187" s="74">
        <v>30</v>
      </c>
      <c r="I187" s="75" t="s">
        <v>400</v>
      </c>
      <c r="J187" s="75" t="s">
        <v>292</v>
      </c>
      <c r="K187" s="75" t="b">
        <v>0</v>
      </c>
      <c r="L187" s="71">
        <v>2015</v>
      </c>
      <c r="M187" s="72">
        <v>790000</v>
      </c>
      <c r="N187" s="76">
        <v>41275</v>
      </c>
      <c r="O187" s="76">
        <v>41275</v>
      </c>
    </row>
    <row r="188" spans="1:15" ht="14.25">
      <c r="A188" s="73">
        <v>2013</v>
      </c>
      <c r="B188" s="74" t="s">
        <v>387</v>
      </c>
      <c r="C188" s="74" t="s">
        <v>388</v>
      </c>
      <c r="D188" s="75">
        <v>3007042</v>
      </c>
      <c r="E188" s="75">
        <v>2</v>
      </c>
      <c r="F188" s="75"/>
      <c r="G188" s="74">
        <v>520</v>
      </c>
      <c r="H188" s="74">
        <v>25</v>
      </c>
      <c r="I188" s="75" t="s">
        <v>407</v>
      </c>
      <c r="J188" s="75" t="s">
        <v>48</v>
      </c>
      <c r="K188" s="75" t="b">
        <v>1</v>
      </c>
      <c r="L188" s="71">
        <v>2020</v>
      </c>
      <c r="M188" s="72">
        <v>1620000</v>
      </c>
      <c r="N188" s="76">
        <v>41275</v>
      </c>
      <c r="O188" s="76">
        <v>41275</v>
      </c>
    </row>
    <row r="189" spans="1:15" ht="14.25">
      <c r="A189" s="73">
        <v>2013</v>
      </c>
      <c r="B189" s="74" t="s">
        <v>387</v>
      </c>
      <c r="C189" s="74" t="s">
        <v>388</v>
      </c>
      <c r="D189" s="75">
        <v>3007042</v>
      </c>
      <c r="E189" s="75">
        <v>2</v>
      </c>
      <c r="F189" s="75"/>
      <c r="G189" s="74">
        <v>451</v>
      </c>
      <c r="H189" s="74" t="s">
        <v>259</v>
      </c>
      <c r="I189" s="75" t="s">
        <v>392</v>
      </c>
      <c r="J189" s="75" t="s">
        <v>284</v>
      </c>
      <c r="K189" s="75" t="b">
        <v>0</v>
      </c>
      <c r="L189" s="71">
        <v>2018</v>
      </c>
      <c r="M189" s="72">
        <v>0.0499</v>
      </c>
      <c r="N189" s="76">
        <v>41275</v>
      </c>
      <c r="O189" s="76">
        <v>41275</v>
      </c>
    </row>
    <row r="190" spans="1:15" ht="14.25">
      <c r="A190" s="73">
        <v>2013</v>
      </c>
      <c r="B190" s="74" t="s">
        <v>387</v>
      </c>
      <c r="C190" s="74" t="s">
        <v>388</v>
      </c>
      <c r="D190" s="75">
        <v>3007042</v>
      </c>
      <c r="E190" s="75">
        <v>2</v>
      </c>
      <c r="F190" s="75"/>
      <c r="G190" s="74">
        <v>210</v>
      </c>
      <c r="H190" s="74" t="s">
        <v>110</v>
      </c>
      <c r="I190" s="75"/>
      <c r="J190" s="75" t="s">
        <v>271</v>
      </c>
      <c r="K190" s="75" t="b">
        <v>1</v>
      </c>
      <c r="L190" s="71">
        <v>2018</v>
      </c>
      <c r="M190" s="72">
        <v>1000000</v>
      </c>
      <c r="N190" s="76">
        <v>41275</v>
      </c>
      <c r="O190" s="76">
        <v>41275</v>
      </c>
    </row>
    <row r="191" spans="1:15" ht="14.25">
      <c r="A191" s="73">
        <v>2013</v>
      </c>
      <c r="B191" s="74" t="s">
        <v>387</v>
      </c>
      <c r="C191" s="74" t="s">
        <v>388</v>
      </c>
      <c r="D191" s="75">
        <v>3007042</v>
      </c>
      <c r="E191" s="75">
        <v>2</v>
      </c>
      <c r="F191" s="75"/>
      <c r="G191" s="74">
        <v>470</v>
      </c>
      <c r="H191" s="74" t="s">
        <v>130</v>
      </c>
      <c r="I191" s="75" t="s">
        <v>391</v>
      </c>
      <c r="J191" s="75" t="s">
        <v>286</v>
      </c>
      <c r="K191" s="75" t="b">
        <v>0</v>
      </c>
      <c r="L191" s="71">
        <v>2019</v>
      </c>
      <c r="M191" s="72">
        <v>212</v>
      </c>
      <c r="N191" s="76">
        <v>41275</v>
      </c>
      <c r="O191" s="76">
        <v>41275</v>
      </c>
    </row>
    <row r="192" spans="1:15" ht="14.25">
      <c r="A192" s="73">
        <v>2013</v>
      </c>
      <c r="B192" s="74" t="s">
        <v>387</v>
      </c>
      <c r="C192" s="74" t="s">
        <v>388</v>
      </c>
      <c r="D192" s="75">
        <v>3007042</v>
      </c>
      <c r="E192" s="75">
        <v>2</v>
      </c>
      <c r="F192" s="75"/>
      <c r="G192" s="74">
        <v>330</v>
      </c>
      <c r="H192" s="74">
        <v>13</v>
      </c>
      <c r="I192" s="75"/>
      <c r="J192" s="75" t="s">
        <v>274</v>
      </c>
      <c r="K192" s="75" t="b">
        <v>1</v>
      </c>
      <c r="L192" s="71">
        <v>2017</v>
      </c>
      <c r="M192" s="72">
        <v>2780000</v>
      </c>
      <c r="N192" s="76">
        <v>41275</v>
      </c>
      <c r="O192" s="76">
        <v>41275</v>
      </c>
    </row>
    <row r="193" spans="1:15" ht="14.25">
      <c r="A193" s="73">
        <v>2013</v>
      </c>
      <c r="B193" s="74" t="s">
        <v>387</v>
      </c>
      <c r="C193" s="74" t="s">
        <v>388</v>
      </c>
      <c r="D193" s="75">
        <v>3007042</v>
      </c>
      <c r="E193" s="75">
        <v>2</v>
      </c>
      <c r="F193" s="75"/>
      <c r="G193" s="74">
        <v>2</v>
      </c>
      <c r="H193" s="74" t="s">
        <v>90</v>
      </c>
      <c r="I193" s="75"/>
      <c r="J193" s="75" t="s">
        <v>263</v>
      </c>
      <c r="K193" s="75" t="b">
        <v>1</v>
      </c>
      <c r="L193" s="71">
        <v>2016</v>
      </c>
      <c r="M193" s="72">
        <v>24018000</v>
      </c>
      <c r="N193" s="76">
        <v>41275</v>
      </c>
      <c r="O193" s="76">
        <v>41275</v>
      </c>
    </row>
    <row r="194" spans="1:15" ht="14.25">
      <c r="A194" s="73">
        <v>2013</v>
      </c>
      <c r="B194" s="74" t="s">
        <v>387</v>
      </c>
      <c r="C194" s="74" t="s">
        <v>388</v>
      </c>
      <c r="D194" s="75">
        <v>3007042</v>
      </c>
      <c r="E194" s="75">
        <v>2</v>
      </c>
      <c r="F194" s="75"/>
      <c r="G194" s="74">
        <v>1</v>
      </c>
      <c r="H194" s="74">
        <v>1</v>
      </c>
      <c r="I194" s="75" t="s">
        <v>411</v>
      </c>
      <c r="J194" s="75" t="s">
        <v>89</v>
      </c>
      <c r="K194" s="75" t="b">
        <v>1</v>
      </c>
      <c r="L194" s="71">
        <v>2019</v>
      </c>
      <c r="M194" s="72">
        <v>25100000</v>
      </c>
      <c r="N194" s="76">
        <v>41275</v>
      </c>
      <c r="O194" s="76">
        <v>41275</v>
      </c>
    </row>
    <row r="195" spans="1:15" ht="14.25">
      <c r="A195" s="73">
        <v>2013</v>
      </c>
      <c r="B195" s="74" t="s">
        <v>387</v>
      </c>
      <c r="C195" s="74" t="s">
        <v>388</v>
      </c>
      <c r="D195" s="75">
        <v>3007042</v>
      </c>
      <c r="E195" s="75">
        <v>2</v>
      </c>
      <c r="F195" s="75"/>
      <c r="G195" s="74">
        <v>420</v>
      </c>
      <c r="H195" s="74">
        <v>19</v>
      </c>
      <c r="I195" s="75" t="s">
        <v>401</v>
      </c>
      <c r="J195" s="75" t="s">
        <v>70</v>
      </c>
      <c r="K195" s="75" t="b">
        <v>1</v>
      </c>
      <c r="L195" s="71">
        <v>2018</v>
      </c>
      <c r="M195" s="72">
        <v>0.0494</v>
      </c>
      <c r="N195" s="76">
        <v>41275</v>
      </c>
      <c r="O195" s="76">
        <v>41275</v>
      </c>
    </row>
    <row r="196" spans="1:15" ht="14.25">
      <c r="A196" s="73">
        <v>2013</v>
      </c>
      <c r="B196" s="74" t="s">
        <v>387</v>
      </c>
      <c r="C196" s="74" t="s">
        <v>388</v>
      </c>
      <c r="D196" s="75">
        <v>3007042</v>
      </c>
      <c r="E196" s="75">
        <v>2</v>
      </c>
      <c r="F196" s="75"/>
      <c r="G196" s="74">
        <v>491</v>
      </c>
      <c r="H196" s="74" t="s">
        <v>261</v>
      </c>
      <c r="I196" s="75" t="s">
        <v>389</v>
      </c>
      <c r="J196" s="75" t="s">
        <v>290</v>
      </c>
      <c r="K196" s="75" t="b">
        <v>0</v>
      </c>
      <c r="L196" s="71">
        <v>2014</v>
      </c>
      <c r="M196" s="72">
        <v>346</v>
      </c>
      <c r="N196" s="76">
        <v>41275</v>
      </c>
      <c r="O196" s="76">
        <v>41275</v>
      </c>
    </row>
    <row r="197" spans="1:15" ht="14.25">
      <c r="A197" s="73">
        <v>2013</v>
      </c>
      <c r="B197" s="74" t="s">
        <v>387</v>
      </c>
      <c r="C197" s="74" t="s">
        <v>388</v>
      </c>
      <c r="D197" s="75">
        <v>3007042</v>
      </c>
      <c r="E197" s="75">
        <v>2</v>
      </c>
      <c r="F197" s="75"/>
      <c r="G197" s="74">
        <v>471</v>
      </c>
      <c r="H197" s="74" t="s">
        <v>260</v>
      </c>
      <c r="I197" s="75" t="s">
        <v>391</v>
      </c>
      <c r="J197" s="75" t="s">
        <v>287</v>
      </c>
      <c r="K197" s="75" t="b">
        <v>0</v>
      </c>
      <c r="L197" s="71">
        <v>2020</v>
      </c>
      <c r="M197" s="72">
        <v>291</v>
      </c>
      <c r="N197" s="76">
        <v>41275</v>
      </c>
      <c r="O197" s="76">
        <v>41275</v>
      </c>
    </row>
    <row r="198" spans="1:15" ht="14.25">
      <c r="A198" s="73">
        <v>2013</v>
      </c>
      <c r="B198" s="74" t="s">
        <v>387</v>
      </c>
      <c r="C198" s="74" t="s">
        <v>388</v>
      </c>
      <c r="D198" s="75">
        <v>3007042</v>
      </c>
      <c r="E198" s="75">
        <v>2</v>
      </c>
      <c r="F198" s="75"/>
      <c r="G198" s="74">
        <v>430</v>
      </c>
      <c r="H198" s="74" t="s">
        <v>127</v>
      </c>
      <c r="I198" s="75" t="s">
        <v>397</v>
      </c>
      <c r="J198" s="75" t="s">
        <v>72</v>
      </c>
      <c r="K198" s="75" t="b">
        <v>0</v>
      </c>
      <c r="L198" s="71">
        <v>2018</v>
      </c>
      <c r="M198" s="72">
        <v>0.0494</v>
      </c>
      <c r="N198" s="76">
        <v>41275</v>
      </c>
      <c r="O198" s="76">
        <v>41275</v>
      </c>
    </row>
    <row r="199" spans="1:15" ht="14.25">
      <c r="A199" s="73">
        <v>2013</v>
      </c>
      <c r="B199" s="74" t="s">
        <v>387</v>
      </c>
      <c r="C199" s="74" t="s">
        <v>388</v>
      </c>
      <c r="D199" s="75">
        <v>3007042</v>
      </c>
      <c r="E199" s="75">
        <v>2</v>
      </c>
      <c r="F199" s="75"/>
      <c r="G199" s="74">
        <v>451</v>
      </c>
      <c r="H199" s="74" t="s">
        <v>259</v>
      </c>
      <c r="I199" s="75" t="s">
        <v>392</v>
      </c>
      <c r="J199" s="75" t="s">
        <v>284</v>
      </c>
      <c r="K199" s="75" t="b">
        <v>0</v>
      </c>
      <c r="L199" s="71">
        <v>2013</v>
      </c>
      <c r="M199" s="72">
        <v>0.1162</v>
      </c>
      <c r="N199" s="76">
        <v>41275</v>
      </c>
      <c r="O199" s="76">
        <v>41275</v>
      </c>
    </row>
    <row r="200" spans="1:15" ht="14.25">
      <c r="A200" s="73">
        <v>2013</v>
      </c>
      <c r="B200" s="74" t="s">
        <v>387</v>
      </c>
      <c r="C200" s="74" t="s">
        <v>388</v>
      </c>
      <c r="D200" s="75">
        <v>3007042</v>
      </c>
      <c r="E200" s="75">
        <v>2</v>
      </c>
      <c r="F200" s="75"/>
      <c r="G200" s="74">
        <v>260</v>
      </c>
      <c r="H200" s="74">
        <v>9</v>
      </c>
      <c r="I200" s="75" t="s">
        <v>405</v>
      </c>
      <c r="J200" s="75" t="s">
        <v>116</v>
      </c>
      <c r="K200" s="75" t="b">
        <v>0</v>
      </c>
      <c r="L200" s="71">
        <v>2018</v>
      </c>
      <c r="M200" s="72">
        <v>400000</v>
      </c>
      <c r="N200" s="76">
        <v>41275</v>
      </c>
      <c r="O200" s="76">
        <v>41275</v>
      </c>
    </row>
    <row r="201" spans="1:15" ht="14.25">
      <c r="A201" s="73">
        <v>2013</v>
      </c>
      <c r="B201" s="74" t="s">
        <v>387</v>
      </c>
      <c r="C201" s="74" t="s">
        <v>388</v>
      </c>
      <c r="D201" s="75">
        <v>3007042</v>
      </c>
      <c r="E201" s="75">
        <v>2</v>
      </c>
      <c r="F201" s="75"/>
      <c r="G201" s="74">
        <v>491</v>
      </c>
      <c r="H201" s="74" t="s">
        <v>261</v>
      </c>
      <c r="I201" s="75" t="s">
        <v>389</v>
      </c>
      <c r="J201" s="75" t="s">
        <v>290</v>
      </c>
      <c r="K201" s="75" t="b">
        <v>0</v>
      </c>
      <c r="L201" s="71">
        <v>2016</v>
      </c>
      <c r="M201" s="72">
        <v>20</v>
      </c>
      <c r="N201" s="76">
        <v>41275</v>
      </c>
      <c r="O201" s="76">
        <v>41275</v>
      </c>
    </row>
    <row r="202" spans="1:15" ht="14.25">
      <c r="A202" s="73">
        <v>2013</v>
      </c>
      <c r="B202" s="74" t="s">
        <v>387</v>
      </c>
      <c r="C202" s="74" t="s">
        <v>388</v>
      </c>
      <c r="D202" s="75">
        <v>3007042</v>
      </c>
      <c r="E202" s="75">
        <v>2</v>
      </c>
      <c r="F202" s="75"/>
      <c r="G202" s="74">
        <v>480</v>
      </c>
      <c r="H202" s="74">
        <v>22</v>
      </c>
      <c r="I202" s="75" t="s">
        <v>393</v>
      </c>
      <c r="J202" s="75" t="s">
        <v>288</v>
      </c>
      <c r="K202" s="75" t="b">
        <v>0</v>
      </c>
      <c r="L202" s="71">
        <v>2019</v>
      </c>
      <c r="M202" s="72">
        <v>0.0319</v>
      </c>
      <c r="N202" s="76">
        <v>41275</v>
      </c>
      <c r="O202" s="76">
        <v>41275</v>
      </c>
    </row>
    <row r="203" spans="1:15" ht="14.25">
      <c r="A203" s="73">
        <v>2013</v>
      </c>
      <c r="B203" s="74" t="s">
        <v>387</v>
      </c>
      <c r="C203" s="74" t="s">
        <v>388</v>
      </c>
      <c r="D203" s="75">
        <v>3007042</v>
      </c>
      <c r="E203" s="75">
        <v>2</v>
      </c>
      <c r="F203" s="75"/>
      <c r="G203" s="74">
        <v>200</v>
      </c>
      <c r="H203" s="74">
        <v>7</v>
      </c>
      <c r="I203" s="75" t="s">
        <v>396</v>
      </c>
      <c r="J203" s="75" t="s">
        <v>11</v>
      </c>
      <c r="K203" s="75" t="b">
        <v>1</v>
      </c>
      <c r="L203" s="71">
        <v>2014</v>
      </c>
      <c r="M203" s="72">
        <v>1100000</v>
      </c>
      <c r="N203" s="76">
        <v>41275</v>
      </c>
      <c r="O203" s="76">
        <v>41275</v>
      </c>
    </row>
    <row r="204" spans="1:15" ht="14.25">
      <c r="A204" s="73">
        <v>2013</v>
      </c>
      <c r="B204" s="74" t="s">
        <v>387</v>
      </c>
      <c r="C204" s="74" t="s">
        <v>388</v>
      </c>
      <c r="D204" s="75">
        <v>3007042</v>
      </c>
      <c r="E204" s="75">
        <v>2</v>
      </c>
      <c r="F204" s="75"/>
      <c r="G204" s="74">
        <v>160</v>
      </c>
      <c r="H204" s="74">
        <v>3</v>
      </c>
      <c r="I204" s="75" t="s">
        <v>410</v>
      </c>
      <c r="J204" s="75" t="s">
        <v>105</v>
      </c>
      <c r="K204" s="75" t="b">
        <v>1</v>
      </c>
      <c r="L204" s="71">
        <v>2020</v>
      </c>
      <c r="M204" s="72">
        <v>1720000</v>
      </c>
      <c r="N204" s="76">
        <v>41275</v>
      </c>
      <c r="O204" s="76">
        <v>41275</v>
      </c>
    </row>
    <row r="205" spans="1:15" ht="14.25">
      <c r="A205" s="73">
        <v>2013</v>
      </c>
      <c r="B205" s="74" t="s">
        <v>387</v>
      </c>
      <c r="C205" s="74" t="s">
        <v>388</v>
      </c>
      <c r="D205" s="75">
        <v>3007042</v>
      </c>
      <c r="E205" s="75">
        <v>2</v>
      </c>
      <c r="F205" s="75"/>
      <c r="G205" s="74">
        <v>470</v>
      </c>
      <c r="H205" s="74" t="s">
        <v>130</v>
      </c>
      <c r="I205" s="75" t="s">
        <v>391</v>
      </c>
      <c r="J205" s="75" t="s">
        <v>286</v>
      </c>
      <c r="K205" s="75" t="b">
        <v>0</v>
      </c>
      <c r="L205" s="71">
        <v>2015</v>
      </c>
      <c r="M205" s="72">
        <v>20</v>
      </c>
      <c r="N205" s="76">
        <v>41275</v>
      </c>
      <c r="O205" s="76">
        <v>41275</v>
      </c>
    </row>
    <row r="206" spans="1:15" ht="14.25">
      <c r="A206" s="73">
        <v>2013</v>
      </c>
      <c r="B206" s="74" t="s">
        <v>387</v>
      </c>
      <c r="C206" s="74" t="s">
        <v>388</v>
      </c>
      <c r="D206" s="75">
        <v>3007042</v>
      </c>
      <c r="E206" s="75">
        <v>2</v>
      </c>
      <c r="F206" s="75"/>
      <c r="G206" s="74">
        <v>9</v>
      </c>
      <c r="H206" s="74">
        <v>2</v>
      </c>
      <c r="I206" s="75"/>
      <c r="J206" s="75" t="s">
        <v>3</v>
      </c>
      <c r="K206" s="75" t="b">
        <v>1</v>
      </c>
      <c r="L206" s="71">
        <v>2015</v>
      </c>
      <c r="M206" s="72">
        <v>22072000</v>
      </c>
      <c r="N206" s="76">
        <v>41275</v>
      </c>
      <c r="O206" s="76">
        <v>41275</v>
      </c>
    </row>
    <row r="207" spans="1:15" ht="14.25">
      <c r="A207" s="73">
        <v>2013</v>
      </c>
      <c r="B207" s="74" t="s">
        <v>387</v>
      </c>
      <c r="C207" s="74" t="s">
        <v>388</v>
      </c>
      <c r="D207" s="75">
        <v>3007042</v>
      </c>
      <c r="E207" s="75">
        <v>2</v>
      </c>
      <c r="F207" s="75"/>
      <c r="G207" s="74">
        <v>150</v>
      </c>
      <c r="H207" s="74" t="s">
        <v>104</v>
      </c>
      <c r="I207" s="75"/>
      <c r="J207" s="75" t="s">
        <v>268</v>
      </c>
      <c r="K207" s="75" t="b">
        <v>0</v>
      </c>
      <c r="L207" s="71">
        <v>2013</v>
      </c>
      <c r="M207" s="72">
        <v>180044</v>
      </c>
      <c r="N207" s="76">
        <v>41275</v>
      </c>
      <c r="O207" s="76">
        <v>41275</v>
      </c>
    </row>
    <row r="208" spans="1:15" ht="14.25">
      <c r="A208" s="73">
        <v>2013</v>
      </c>
      <c r="B208" s="74" t="s">
        <v>387</v>
      </c>
      <c r="C208" s="74" t="s">
        <v>388</v>
      </c>
      <c r="D208" s="75">
        <v>3007042</v>
      </c>
      <c r="E208" s="75">
        <v>2</v>
      </c>
      <c r="F208" s="75"/>
      <c r="G208" s="74">
        <v>230</v>
      </c>
      <c r="H208" s="74" t="s">
        <v>113</v>
      </c>
      <c r="I208" s="75"/>
      <c r="J208" s="75" t="s">
        <v>272</v>
      </c>
      <c r="K208" s="75" t="b">
        <v>1</v>
      </c>
      <c r="L208" s="71">
        <v>2021</v>
      </c>
      <c r="M208" s="72">
        <v>50000</v>
      </c>
      <c r="N208" s="76">
        <v>41275</v>
      </c>
      <c r="O208" s="76">
        <v>41275</v>
      </c>
    </row>
    <row r="209" spans="1:15" ht="14.25">
      <c r="A209" s="73">
        <v>2013</v>
      </c>
      <c r="B209" s="74" t="s">
        <v>387</v>
      </c>
      <c r="C209" s="74" t="s">
        <v>388</v>
      </c>
      <c r="D209" s="75">
        <v>3007042</v>
      </c>
      <c r="E209" s="75">
        <v>2</v>
      </c>
      <c r="F209" s="75"/>
      <c r="G209" s="74">
        <v>330</v>
      </c>
      <c r="H209" s="74">
        <v>13</v>
      </c>
      <c r="I209" s="75"/>
      <c r="J209" s="75" t="s">
        <v>274</v>
      </c>
      <c r="K209" s="75" t="b">
        <v>1</v>
      </c>
      <c r="L209" s="71">
        <v>2015</v>
      </c>
      <c r="M209" s="72">
        <v>4400000</v>
      </c>
      <c r="N209" s="76">
        <v>41275</v>
      </c>
      <c r="O209" s="76">
        <v>41275</v>
      </c>
    </row>
    <row r="210" spans="1:15" ht="14.25">
      <c r="A210" s="73">
        <v>2013</v>
      </c>
      <c r="B210" s="74" t="s">
        <v>387</v>
      </c>
      <c r="C210" s="74" t="s">
        <v>388</v>
      </c>
      <c r="D210" s="75">
        <v>3007042</v>
      </c>
      <c r="E210" s="75">
        <v>2</v>
      </c>
      <c r="F210" s="75"/>
      <c r="G210" s="74">
        <v>450</v>
      </c>
      <c r="H210" s="74" t="s">
        <v>129</v>
      </c>
      <c r="I210" s="75" t="s">
        <v>392</v>
      </c>
      <c r="J210" s="75" t="s">
        <v>52</v>
      </c>
      <c r="K210" s="75" t="b">
        <v>0</v>
      </c>
      <c r="L210" s="71">
        <v>2019</v>
      </c>
      <c r="M210" s="72">
        <v>0.0531</v>
      </c>
      <c r="N210" s="76">
        <v>41275</v>
      </c>
      <c r="O210" s="76">
        <v>41275</v>
      </c>
    </row>
    <row r="211" spans="1:15" ht="14.25">
      <c r="A211" s="73">
        <v>2013</v>
      </c>
      <c r="B211" s="74" t="s">
        <v>387</v>
      </c>
      <c r="C211" s="74" t="s">
        <v>388</v>
      </c>
      <c r="D211" s="75">
        <v>3007042</v>
      </c>
      <c r="E211" s="75">
        <v>2</v>
      </c>
      <c r="F211" s="75"/>
      <c r="G211" s="74">
        <v>540</v>
      </c>
      <c r="H211" s="74">
        <v>27</v>
      </c>
      <c r="I211" s="75" t="s">
        <v>390</v>
      </c>
      <c r="J211" s="75" t="s">
        <v>45</v>
      </c>
      <c r="K211" s="75" t="b">
        <v>0</v>
      </c>
      <c r="L211" s="71">
        <v>2014</v>
      </c>
      <c r="M211" s="72">
        <v>24005610</v>
      </c>
      <c r="N211" s="76">
        <v>41275</v>
      </c>
      <c r="O211" s="76">
        <v>41275</v>
      </c>
    </row>
    <row r="212" spans="1:15" ht="14.25">
      <c r="A212" s="73">
        <v>2013</v>
      </c>
      <c r="B212" s="74" t="s">
        <v>387</v>
      </c>
      <c r="C212" s="74" t="s">
        <v>388</v>
      </c>
      <c r="D212" s="75">
        <v>3007042</v>
      </c>
      <c r="E212" s="75">
        <v>2</v>
      </c>
      <c r="F212" s="75"/>
      <c r="G212" s="74">
        <v>491</v>
      </c>
      <c r="H212" s="74" t="s">
        <v>261</v>
      </c>
      <c r="I212" s="75" t="s">
        <v>389</v>
      </c>
      <c r="J212" s="75" t="s">
        <v>290</v>
      </c>
      <c r="K212" s="75" t="b">
        <v>0</v>
      </c>
      <c r="L212" s="71">
        <v>2020</v>
      </c>
      <c r="M212" s="72">
        <v>291</v>
      </c>
      <c r="N212" s="76">
        <v>41275</v>
      </c>
      <c r="O212" s="76">
        <v>41275</v>
      </c>
    </row>
    <row r="213" spans="1:15" ht="14.25">
      <c r="A213" s="73">
        <v>2013</v>
      </c>
      <c r="B213" s="74" t="s">
        <v>387</v>
      </c>
      <c r="C213" s="74" t="s">
        <v>388</v>
      </c>
      <c r="D213" s="75">
        <v>3007042</v>
      </c>
      <c r="E213" s="75">
        <v>2</v>
      </c>
      <c r="F213" s="75"/>
      <c r="G213" s="74">
        <v>270</v>
      </c>
      <c r="H213" s="74">
        <v>10</v>
      </c>
      <c r="I213" s="75"/>
      <c r="J213" s="75" t="s">
        <v>17</v>
      </c>
      <c r="K213" s="75" t="b">
        <v>0</v>
      </c>
      <c r="L213" s="71">
        <v>2015</v>
      </c>
      <c r="M213" s="72">
        <v>310000</v>
      </c>
      <c r="N213" s="76">
        <v>41275</v>
      </c>
      <c r="O213" s="76">
        <v>41275</v>
      </c>
    </row>
    <row r="214" spans="1:15" ht="14.25">
      <c r="A214" s="73">
        <v>2013</v>
      </c>
      <c r="B214" s="74" t="s">
        <v>387</v>
      </c>
      <c r="C214" s="74" t="s">
        <v>388</v>
      </c>
      <c r="D214" s="75">
        <v>3007042</v>
      </c>
      <c r="E214" s="75">
        <v>2</v>
      </c>
      <c r="F214" s="75"/>
      <c r="G214" s="74">
        <v>270</v>
      </c>
      <c r="H214" s="74">
        <v>10</v>
      </c>
      <c r="I214" s="75"/>
      <c r="J214" s="75" t="s">
        <v>17</v>
      </c>
      <c r="K214" s="75" t="b">
        <v>0</v>
      </c>
      <c r="L214" s="71">
        <v>2017</v>
      </c>
      <c r="M214" s="72">
        <v>550000</v>
      </c>
      <c r="N214" s="76">
        <v>41275</v>
      </c>
      <c r="O214" s="76">
        <v>41275</v>
      </c>
    </row>
    <row r="215" spans="1:15" ht="14.25">
      <c r="A215" s="73">
        <v>2013</v>
      </c>
      <c r="B215" s="74" t="s">
        <v>387</v>
      </c>
      <c r="C215" s="74" t="s">
        <v>388</v>
      </c>
      <c r="D215" s="75">
        <v>3007042</v>
      </c>
      <c r="E215" s="75">
        <v>2</v>
      </c>
      <c r="F215" s="75"/>
      <c r="G215" s="74">
        <v>460</v>
      </c>
      <c r="H215" s="74">
        <v>21</v>
      </c>
      <c r="I215" s="75" t="s">
        <v>406</v>
      </c>
      <c r="J215" s="75" t="s">
        <v>285</v>
      </c>
      <c r="K215" s="75" t="b">
        <v>1</v>
      </c>
      <c r="L215" s="71">
        <v>2020</v>
      </c>
      <c r="M215" s="72">
        <v>0.0292</v>
      </c>
      <c r="N215" s="76">
        <v>41275</v>
      </c>
      <c r="O215" s="76">
        <v>41275</v>
      </c>
    </row>
    <row r="216" spans="1:15" ht="14.25">
      <c r="A216" s="73">
        <v>2013</v>
      </c>
      <c r="B216" s="74" t="s">
        <v>387</v>
      </c>
      <c r="C216" s="74" t="s">
        <v>388</v>
      </c>
      <c r="D216" s="75">
        <v>3007042</v>
      </c>
      <c r="E216" s="75">
        <v>2</v>
      </c>
      <c r="F216" s="75"/>
      <c r="G216" s="74">
        <v>190</v>
      </c>
      <c r="H216" s="74">
        <v>6</v>
      </c>
      <c r="I216" s="75" t="s">
        <v>394</v>
      </c>
      <c r="J216" s="75" t="s">
        <v>109</v>
      </c>
      <c r="K216" s="75" t="b">
        <v>0</v>
      </c>
      <c r="L216" s="71">
        <v>2016</v>
      </c>
      <c r="M216" s="72">
        <v>1430000</v>
      </c>
      <c r="N216" s="76">
        <v>41275</v>
      </c>
      <c r="O216" s="76">
        <v>41275</v>
      </c>
    </row>
    <row r="217" spans="1:15" ht="14.25">
      <c r="A217" s="73">
        <v>2013</v>
      </c>
      <c r="B217" s="74" t="s">
        <v>387</v>
      </c>
      <c r="C217" s="74" t="s">
        <v>388</v>
      </c>
      <c r="D217" s="75">
        <v>3007042</v>
      </c>
      <c r="E217" s="75">
        <v>2</v>
      </c>
      <c r="F217" s="75"/>
      <c r="G217" s="74">
        <v>210</v>
      </c>
      <c r="H217" s="74" t="s">
        <v>110</v>
      </c>
      <c r="I217" s="75"/>
      <c r="J217" s="75" t="s">
        <v>271</v>
      </c>
      <c r="K217" s="75" t="b">
        <v>1</v>
      </c>
      <c r="L217" s="71">
        <v>2021</v>
      </c>
      <c r="M217" s="72">
        <v>490000</v>
      </c>
      <c r="N217" s="76">
        <v>41275</v>
      </c>
      <c r="O217" s="76">
        <v>41275</v>
      </c>
    </row>
    <row r="218" spans="1:15" ht="14.25">
      <c r="A218" s="73">
        <v>2013</v>
      </c>
      <c r="B218" s="74" t="s">
        <v>387</v>
      </c>
      <c r="C218" s="74" t="s">
        <v>388</v>
      </c>
      <c r="D218" s="75">
        <v>3007042</v>
      </c>
      <c r="E218" s="75">
        <v>2</v>
      </c>
      <c r="F218" s="75"/>
      <c r="G218" s="74">
        <v>420</v>
      </c>
      <c r="H218" s="74">
        <v>19</v>
      </c>
      <c r="I218" s="75" t="s">
        <v>401</v>
      </c>
      <c r="J218" s="75" t="s">
        <v>70</v>
      </c>
      <c r="K218" s="75" t="b">
        <v>1</v>
      </c>
      <c r="L218" s="71">
        <v>2014</v>
      </c>
      <c r="M218" s="72">
        <v>0.0464</v>
      </c>
      <c r="N218" s="76">
        <v>41275</v>
      </c>
      <c r="O218" s="76">
        <v>41275</v>
      </c>
    </row>
    <row r="219" spans="1:15" ht="14.25">
      <c r="A219" s="73">
        <v>2013</v>
      </c>
      <c r="B219" s="74" t="s">
        <v>387</v>
      </c>
      <c r="C219" s="74" t="s">
        <v>388</v>
      </c>
      <c r="D219" s="75">
        <v>3007042</v>
      </c>
      <c r="E219" s="75">
        <v>2</v>
      </c>
      <c r="F219" s="75"/>
      <c r="G219" s="74">
        <v>200</v>
      </c>
      <c r="H219" s="74">
        <v>7</v>
      </c>
      <c r="I219" s="75" t="s">
        <v>396</v>
      </c>
      <c r="J219" s="75" t="s">
        <v>11</v>
      </c>
      <c r="K219" s="75" t="b">
        <v>1</v>
      </c>
      <c r="L219" s="71">
        <v>2018</v>
      </c>
      <c r="M219" s="72">
        <v>1225000</v>
      </c>
      <c r="N219" s="76">
        <v>41275</v>
      </c>
      <c r="O219" s="76">
        <v>41275</v>
      </c>
    </row>
    <row r="220" spans="1:15" ht="14.25">
      <c r="A220" s="73">
        <v>2013</v>
      </c>
      <c r="B220" s="74" t="s">
        <v>387</v>
      </c>
      <c r="C220" s="74" t="s">
        <v>388</v>
      </c>
      <c r="D220" s="75">
        <v>3007042</v>
      </c>
      <c r="E220" s="75">
        <v>2</v>
      </c>
      <c r="F220" s="75"/>
      <c r="G220" s="74">
        <v>240</v>
      </c>
      <c r="H220" s="74" t="s">
        <v>114</v>
      </c>
      <c r="I220" s="75"/>
      <c r="J220" s="75" t="s">
        <v>273</v>
      </c>
      <c r="K220" s="75" t="b">
        <v>1</v>
      </c>
      <c r="L220" s="71">
        <v>2016</v>
      </c>
      <c r="M220" s="72">
        <v>330000</v>
      </c>
      <c r="N220" s="76">
        <v>41275</v>
      </c>
      <c r="O220" s="76">
        <v>41275</v>
      </c>
    </row>
    <row r="221" spans="1:15" ht="14.25">
      <c r="A221" s="73">
        <v>2013</v>
      </c>
      <c r="B221" s="74" t="s">
        <v>387</v>
      </c>
      <c r="C221" s="74" t="s">
        <v>388</v>
      </c>
      <c r="D221" s="75">
        <v>3007042</v>
      </c>
      <c r="E221" s="75">
        <v>2</v>
      </c>
      <c r="F221" s="75"/>
      <c r="G221" s="74">
        <v>430</v>
      </c>
      <c r="H221" s="74" t="s">
        <v>127</v>
      </c>
      <c r="I221" s="75" t="s">
        <v>397</v>
      </c>
      <c r="J221" s="75" t="s">
        <v>72</v>
      </c>
      <c r="K221" s="75" t="b">
        <v>0</v>
      </c>
      <c r="L221" s="71">
        <v>2016</v>
      </c>
      <c r="M221" s="72">
        <v>0.0458</v>
      </c>
      <c r="N221" s="76">
        <v>41275</v>
      </c>
      <c r="O221" s="76">
        <v>41275</v>
      </c>
    </row>
    <row r="222" spans="1:15" ht="14.25">
      <c r="A222" s="73">
        <v>2013</v>
      </c>
      <c r="B222" s="74" t="s">
        <v>387</v>
      </c>
      <c r="C222" s="74" t="s">
        <v>388</v>
      </c>
      <c r="D222" s="75">
        <v>3007042</v>
      </c>
      <c r="E222" s="75">
        <v>2</v>
      </c>
      <c r="F222" s="75"/>
      <c r="G222" s="74">
        <v>1</v>
      </c>
      <c r="H222" s="74">
        <v>1</v>
      </c>
      <c r="I222" s="75" t="s">
        <v>411</v>
      </c>
      <c r="J222" s="75" t="s">
        <v>89</v>
      </c>
      <c r="K222" s="75" t="b">
        <v>1</v>
      </c>
      <c r="L222" s="71">
        <v>2021</v>
      </c>
      <c r="M222" s="72">
        <v>25360000</v>
      </c>
      <c r="N222" s="76">
        <v>41275</v>
      </c>
      <c r="O222" s="76">
        <v>41275</v>
      </c>
    </row>
    <row r="223" spans="1:15" ht="14.25">
      <c r="A223" s="73">
        <v>2013</v>
      </c>
      <c r="B223" s="74" t="s">
        <v>387</v>
      </c>
      <c r="C223" s="74" t="s">
        <v>388</v>
      </c>
      <c r="D223" s="75">
        <v>3007042</v>
      </c>
      <c r="E223" s="75">
        <v>2</v>
      </c>
      <c r="F223" s="75"/>
      <c r="G223" s="74">
        <v>451</v>
      </c>
      <c r="H223" s="74" t="s">
        <v>259</v>
      </c>
      <c r="I223" s="75" t="s">
        <v>392</v>
      </c>
      <c r="J223" s="75" t="s">
        <v>284</v>
      </c>
      <c r="K223" s="75" t="b">
        <v>0</v>
      </c>
      <c r="L223" s="71">
        <v>2017</v>
      </c>
      <c r="M223" s="72">
        <v>0.0475</v>
      </c>
      <c r="N223" s="76">
        <v>41275</v>
      </c>
      <c r="O223" s="76">
        <v>41275</v>
      </c>
    </row>
    <row r="224" spans="1:15" ht="14.25">
      <c r="A224" s="73">
        <v>2013</v>
      </c>
      <c r="B224" s="74" t="s">
        <v>387</v>
      </c>
      <c r="C224" s="74" t="s">
        <v>388</v>
      </c>
      <c r="D224" s="75">
        <v>3007042</v>
      </c>
      <c r="E224" s="75">
        <v>2</v>
      </c>
      <c r="F224" s="75"/>
      <c r="G224" s="74">
        <v>470</v>
      </c>
      <c r="H224" s="74" t="s">
        <v>130</v>
      </c>
      <c r="I224" s="75" t="s">
        <v>391</v>
      </c>
      <c r="J224" s="75" t="s">
        <v>286</v>
      </c>
      <c r="K224" s="75" t="b">
        <v>0</v>
      </c>
      <c r="L224" s="71">
        <v>2018</v>
      </c>
      <c r="M224" s="72">
        <v>5</v>
      </c>
      <c r="N224" s="76">
        <v>41275</v>
      </c>
      <c r="O224" s="76">
        <v>41275</v>
      </c>
    </row>
    <row r="225" spans="1:15" ht="14.25">
      <c r="A225" s="73">
        <v>2013</v>
      </c>
      <c r="B225" s="74" t="s">
        <v>387</v>
      </c>
      <c r="C225" s="74" t="s">
        <v>388</v>
      </c>
      <c r="D225" s="75">
        <v>3007042</v>
      </c>
      <c r="E225" s="75">
        <v>2</v>
      </c>
      <c r="F225" s="75"/>
      <c r="G225" s="74">
        <v>370</v>
      </c>
      <c r="H225" s="74">
        <v>16</v>
      </c>
      <c r="I225" s="75"/>
      <c r="J225" s="75" t="s">
        <v>124</v>
      </c>
      <c r="K225" s="75" t="b">
        <v>1</v>
      </c>
      <c r="L225" s="71">
        <v>2015</v>
      </c>
      <c r="M225" s="72">
        <v>790000</v>
      </c>
      <c r="N225" s="76">
        <v>41275</v>
      </c>
      <c r="O225" s="76">
        <v>41275</v>
      </c>
    </row>
    <row r="226" spans="1:15" ht="14.25">
      <c r="A226" s="73">
        <v>2013</v>
      </c>
      <c r="B226" s="74" t="s">
        <v>387</v>
      </c>
      <c r="C226" s="74" t="s">
        <v>388</v>
      </c>
      <c r="D226" s="75">
        <v>3007042</v>
      </c>
      <c r="E226" s="75">
        <v>2</v>
      </c>
      <c r="F226" s="75"/>
      <c r="G226" s="74">
        <v>530</v>
      </c>
      <c r="H226" s="74">
        <v>26</v>
      </c>
      <c r="I226" s="75" t="s">
        <v>404</v>
      </c>
      <c r="J226" s="75" t="s">
        <v>56</v>
      </c>
      <c r="K226" s="75" t="b">
        <v>1</v>
      </c>
      <c r="L226" s="71">
        <v>2014</v>
      </c>
      <c r="M226" s="72">
        <v>23705610</v>
      </c>
      <c r="N226" s="76">
        <v>41275</v>
      </c>
      <c r="O226" s="76">
        <v>41275</v>
      </c>
    </row>
    <row r="227" spans="1:15" ht="14.25">
      <c r="A227" s="73">
        <v>2013</v>
      </c>
      <c r="B227" s="74" t="s">
        <v>387</v>
      </c>
      <c r="C227" s="74" t="s">
        <v>388</v>
      </c>
      <c r="D227" s="75">
        <v>3007042</v>
      </c>
      <c r="E227" s="75">
        <v>2</v>
      </c>
      <c r="F227" s="75"/>
      <c r="G227" s="74">
        <v>550</v>
      </c>
      <c r="H227" s="74">
        <v>28</v>
      </c>
      <c r="I227" s="75" t="s">
        <v>398</v>
      </c>
      <c r="J227" s="75" t="s">
        <v>47</v>
      </c>
      <c r="K227" s="75" t="b">
        <v>0</v>
      </c>
      <c r="L227" s="71">
        <v>2021</v>
      </c>
      <c r="M227" s="72">
        <v>490000</v>
      </c>
      <c r="N227" s="76">
        <v>41275</v>
      </c>
      <c r="O227" s="76">
        <v>41275</v>
      </c>
    </row>
    <row r="228" spans="1:15" ht="14.25">
      <c r="A228" s="73">
        <v>2013</v>
      </c>
      <c r="B228" s="74" t="s">
        <v>387</v>
      </c>
      <c r="C228" s="74" t="s">
        <v>388</v>
      </c>
      <c r="D228" s="75">
        <v>3007042</v>
      </c>
      <c r="E228" s="75">
        <v>2</v>
      </c>
      <c r="F228" s="75"/>
      <c r="G228" s="74">
        <v>451</v>
      </c>
      <c r="H228" s="74" t="s">
        <v>259</v>
      </c>
      <c r="I228" s="75" t="s">
        <v>392</v>
      </c>
      <c r="J228" s="75" t="s">
        <v>284</v>
      </c>
      <c r="K228" s="75" t="b">
        <v>0</v>
      </c>
      <c r="L228" s="71">
        <v>2016</v>
      </c>
      <c r="M228" s="72">
        <v>0.0478</v>
      </c>
      <c r="N228" s="76">
        <v>41275</v>
      </c>
      <c r="O228" s="76">
        <v>41275</v>
      </c>
    </row>
    <row r="229" spans="1:15" ht="14.25">
      <c r="A229" s="73">
        <v>2013</v>
      </c>
      <c r="B229" s="74" t="s">
        <v>387</v>
      </c>
      <c r="C229" s="74" t="s">
        <v>388</v>
      </c>
      <c r="D229" s="75">
        <v>3007042</v>
      </c>
      <c r="E229" s="75">
        <v>2</v>
      </c>
      <c r="F229" s="75"/>
      <c r="G229" s="74">
        <v>290</v>
      </c>
      <c r="H229" s="74" t="s">
        <v>119</v>
      </c>
      <c r="I229" s="75"/>
      <c r="J229" s="75" t="s">
        <v>268</v>
      </c>
      <c r="K229" s="75" t="b">
        <v>0</v>
      </c>
      <c r="L229" s="71">
        <v>2013</v>
      </c>
      <c r="M229" s="72">
        <v>910000</v>
      </c>
      <c r="N229" s="76">
        <v>41275</v>
      </c>
      <c r="O229" s="76">
        <v>41275</v>
      </c>
    </row>
    <row r="230" spans="1:15" ht="14.25">
      <c r="A230" s="73">
        <v>2013</v>
      </c>
      <c r="B230" s="74" t="s">
        <v>387</v>
      </c>
      <c r="C230" s="74" t="s">
        <v>388</v>
      </c>
      <c r="D230" s="75">
        <v>3007042</v>
      </c>
      <c r="E230" s="75">
        <v>2</v>
      </c>
      <c r="F230" s="75"/>
      <c r="G230" s="74">
        <v>9</v>
      </c>
      <c r="H230" s="74">
        <v>2</v>
      </c>
      <c r="I230" s="75"/>
      <c r="J230" s="75" t="s">
        <v>3</v>
      </c>
      <c r="K230" s="75" t="b">
        <v>1</v>
      </c>
      <c r="L230" s="71">
        <v>2017</v>
      </c>
      <c r="M230" s="72">
        <v>22830000</v>
      </c>
      <c r="N230" s="76">
        <v>41275</v>
      </c>
      <c r="O230" s="76">
        <v>41275</v>
      </c>
    </row>
    <row r="231" spans="1:15" ht="14.25">
      <c r="A231" s="73">
        <v>2013</v>
      </c>
      <c r="B231" s="74" t="s">
        <v>387</v>
      </c>
      <c r="C231" s="74" t="s">
        <v>388</v>
      </c>
      <c r="D231" s="75">
        <v>3007042</v>
      </c>
      <c r="E231" s="75">
        <v>2</v>
      </c>
      <c r="F231" s="75"/>
      <c r="G231" s="74">
        <v>430</v>
      </c>
      <c r="H231" s="74" t="s">
        <v>127</v>
      </c>
      <c r="I231" s="75" t="s">
        <v>397</v>
      </c>
      <c r="J231" s="75" t="s">
        <v>72</v>
      </c>
      <c r="K231" s="75" t="b">
        <v>0</v>
      </c>
      <c r="L231" s="71">
        <v>2019</v>
      </c>
      <c r="M231" s="72">
        <v>0.0319</v>
      </c>
      <c r="N231" s="76">
        <v>41275</v>
      </c>
      <c r="O231" s="76">
        <v>41275</v>
      </c>
    </row>
    <row r="232" spans="1:15" ht="14.25">
      <c r="A232" s="73">
        <v>2013</v>
      </c>
      <c r="B232" s="74" t="s">
        <v>387</v>
      </c>
      <c r="C232" s="74" t="s">
        <v>388</v>
      </c>
      <c r="D232" s="75">
        <v>3007042</v>
      </c>
      <c r="E232" s="75">
        <v>2</v>
      </c>
      <c r="F232" s="75"/>
      <c r="G232" s="74">
        <v>160</v>
      </c>
      <c r="H232" s="74">
        <v>3</v>
      </c>
      <c r="I232" s="75" t="s">
        <v>410</v>
      </c>
      <c r="J232" s="75" t="s">
        <v>105</v>
      </c>
      <c r="K232" s="75" t="b">
        <v>1</v>
      </c>
      <c r="L232" s="71">
        <v>2017</v>
      </c>
      <c r="M232" s="72">
        <v>1670000</v>
      </c>
      <c r="N232" s="76">
        <v>41275</v>
      </c>
      <c r="O232" s="76">
        <v>41275</v>
      </c>
    </row>
    <row r="233" spans="1:15" ht="14.25">
      <c r="A233" s="73">
        <v>2013</v>
      </c>
      <c r="B233" s="74" t="s">
        <v>387</v>
      </c>
      <c r="C233" s="74" t="s">
        <v>388</v>
      </c>
      <c r="D233" s="75">
        <v>3007042</v>
      </c>
      <c r="E233" s="75">
        <v>2</v>
      </c>
      <c r="F233" s="75"/>
      <c r="G233" s="74">
        <v>230</v>
      </c>
      <c r="H233" s="74" t="s">
        <v>113</v>
      </c>
      <c r="I233" s="75"/>
      <c r="J233" s="75" t="s">
        <v>272</v>
      </c>
      <c r="K233" s="75" t="b">
        <v>1</v>
      </c>
      <c r="L233" s="71">
        <v>2015</v>
      </c>
      <c r="M233" s="72">
        <v>375000</v>
      </c>
      <c r="N233" s="76">
        <v>41275</v>
      </c>
      <c r="O233" s="76">
        <v>41275</v>
      </c>
    </row>
    <row r="234" spans="1:15" ht="14.25">
      <c r="A234" s="73">
        <v>2013</v>
      </c>
      <c r="B234" s="74" t="s">
        <v>387</v>
      </c>
      <c r="C234" s="74" t="s">
        <v>388</v>
      </c>
      <c r="D234" s="75">
        <v>3007042</v>
      </c>
      <c r="E234" s="75">
        <v>2</v>
      </c>
      <c r="F234" s="75"/>
      <c r="G234" s="74">
        <v>460</v>
      </c>
      <c r="H234" s="74">
        <v>21</v>
      </c>
      <c r="I234" s="75" t="s">
        <v>406</v>
      </c>
      <c r="J234" s="75" t="s">
        <v>285</v>
      </c>
      <c r="K234" s="75" t="b">
        <v>1</v>
      </c>
      <c r="L234" s="71">
        <v>2016</v>
      </c>
      <c r="M234" s="72">
        <v>0.0458</v>
      </c>
      <c r="N234" s="76">
        <v>41275</v>
      </c>
      <c r="O234" s="76">
        <v>41275</v>
      </c>
    </row>
    <row r="235" spans="1:15" ht="14.25">
      <c r="A235" s="73">
        <v>2013</v>
      </c>
      <c r="B235" s="74" t="s">
        <v>387</v>
      </c>
      <c r="C235" s="74" t="s">
        <v>388</v>
      </c>
      <c r="D235" s="75">
        <v>3007042</v>
      </c>
      <c r="E235" s="75">
        <v>2</v>
      </c>
      <c r="F235" s="75"/>
      <c r="G235" s="74">
        <v>410</v>
      </c>
      <c r="H235" s="74" t="s">
        <v>126</v>
      </c>
      <c r="I235" s="75" t="s">
        <v>395</v>
      </c>
      <c r="J235" s="75" t="s">
        <v>69</v>
      </c>
      <c r="K235" s="75" t="b">
        <v>0</v>
      </c>
      <c r="L235" s="71">
        <v>2013</v>
      </c>
      <c r="M235" s="72">
        <v>0.2102</v>
      </c>
      <c r="N235" s="76">
        <v>41275</v>
      </c>
      <c r="O235" s="76">
        <v>41275</v>
      </c>
    </row>
    <row r="236" spans="1:15" ht="14.25">
      <c r="A236" s="73">
        <v>2013</v>
      </c>
      <c r="B236" s="74" t="s">
        <v>387</v>
      </c>
      <c r="C236" s="74" t="s">
        <v>388</v>
      </c>
      <c r="D236" s="75">
        <v>3007042</v>
      </c>
      <c r="E236" s="75">
        <v>2</v>
      </c>
      <c r="F236" s="75"/>
      <c r="G236" s="74">
        <v>240</v>
      </c>
      <c r="H236" s="74" t="s">
        <v>114</v>
      </c>
      <c r="I236" s="75"/>
      <c r="J236" s="75" t="s">
        <v>273</v>
      </c>
      <c r="K236" s="75" t="b">
        <v>1</v>
      </c>
      <c r="L236" s="71">
        <v>2017</v>
      </c>
      <c r="M236" s="72">
        <v>270000</v>
      </c>
      <c r="N236" s="76">
        <v>41275</v>
      </c>
      <c r="O236" s="76">
        <v>41275</v>
      </c>
    </row>
    <row r="237" spans="1:15" ht="14.25">
      <c r="A237" s="73">
        <v>2013</v>
      </c>
      <c r="B237" s="74" t="s">
        <v>387</v>
      </c>
      <c r="C237" s="74" t="s">
        <v>388</v>
      </c>
      <c r="D237" s="75">
        <v>3007042</v>
      </c>
      <c r="E237" s="75">
        <v>2</v>
      </c>
      <c r="F237" s="75"/>
      <c r="G237" s="74">
        <v>190</v>
      </c>
      <c r="H237" s="74">
        <v>6</v>
      </c>
      <c r="I237" s="75" t="s">
        <v>394</v>
      </c>
      <c r="J237" s="75" t="s">
        <v>109</v>
      </c>
      <c r="K237" s="75" t="b">
        <v>0</v>
      </c>
      <c r="L237" s="71">
        <v>2018</v>
      </c>
      <c r="M237" s="72">
        <v>1625000</v>
      </c>
      <c r="N237" s="76">
        <v>41275</v>
      </c>
      <c r="O237" s="76">
        <v>41275</v>
      </c>
    </row>
    <row r="238" spans="1:15" ht="14.25">
      <c r="A238" s="73">
        <v>2013</v>
      </c>
      <c r="B238" s="74" t="s">
        <v>387</v>
      </c>
      <c r="C238" s="74" t="s">
        <v>388</v>
      </c>
      <c r="D238" s="75">
        <v>3007042</v>
      </c>
      <c r="E238" s="75">
        <v>2</v>
      </c>
      <c r="F238" s="75"/>
      <c r="G238" s="74">
        <v>230</v>
      </c>
      <c r="H238" s="74" t="s">
        <v>113</v>
      </c>
      <c r="I238" s="75"/>
      <c r="J238" s="75" t="s">
        <v>272</v>
      </c>
      <c r="K238" s="75" t="b">
        <v>1</v>
      </c>
      <c r="L238" s="71">
        <v>2018</v>
      </c>
      <c r="M238" s="72">
        <v>225000</v>
      </c>
      <c r="N238" s="76">
        <v>41275</v>
      </c>
      <c r="O238" s="76">
        <v>41275</v>
      </c>
    </row>
    <row r="239" spans="1:15" ht="14.25">
      <c r="A239" s="73">
        <v>2013</v>
      </c>
      <c r="B239" s="74" t="s">
        <v>387</v>
      </c>
      <c r="C239" s="74" t="s">
        <v>388</v>
      </c>
      <c r="D239" s="75">
        <v>3007042</v>
      </c>
      <c r="E239" s="75">
        <v>2</v>
      </c>
      <c r="F239" s="75"/>
      <c r="G239" s="74">
        <v>9</v>
      </c>
      <c r="H239" s="74">
        <v>2</v>
      </c>
      <c r="I239" s="75"/>
      <c r="J239" s="75" t="s">
        <v>3</v>
      </c>
      <c r="K239" s="75" t="b">
        <v>1</v>
      </c>
      <c r="L239" s="71">
        <v>2021</v>
      </c>
      <c r="M239" s="72">
        <v>24000000</v>
      </c>
      <c r="N239" s="76">
        <v>41275</v>
      </c>
      <c r="O239" s="76">
        <v>41275</v>
      </c>
    </row>
    <row r="240" spans="1:15" ht="14.25">
      <c r="A240" s="73">
        <v>2013</v>
      </c>
      <c r="B240" s="74" t="s">
        <v>387</v>
      </c>
      <c r="C240" s="74" t="s">
        <v>388</v>
      </c>
      <c r="D240" s="75">
        <v>3007042</v>
      </c>
      <c r="E240" s="75">
        <v>2</v>
      </c>
      <c r="F240" s="75"/>
      <c r="G240" s="74">
        <v>550</v>
      </c>
      <c r="H240" s="74">
        <v>28</v>
      </c>
      <c r="I240" s="75" t="s">
        <v>398</v>
      </c>
      <c r="J240" s="75" t="s">
        <v>47</v>
      </c>
      <c r="K240" s="75" t="b">
        <v>0</v>
      </c>
      <c r="L240" s="71">
        <v>2018</v>
      </c>
      <c r="M240" s="72">
        <v>1000000</v>
      </c>
      <c r="N240" s="76">
        <v>41275</v>
      </c>
      <c r="O240" s="76">
        <v>41275</v>
      </c>
    </row>
    <row r="241" spans="1:15" ht="14.25">
      <c r="A241" s="73">
        <v>2013</v>
      </c>
      <c r="B241" s="74" t="s">
        <v>387</v>
      </c>
      <c r="C241" s="74" t="s">
        <v>388</v>
      </c>
      <c r="D241" s="75">
        <v>3007042</v>
      </c>
      <c r="E241" s="75">
        <v>2</v>
      </c>
      <c r="F241" s="75"/>
      <c r="G241" s="74">
        <v>270</v>
      </c>
      <c r="H241" s="74">
        <v>10</v>
      </c>
      <c r="I241" s="75"/>
      <c r="J241" s="75" t="s">
        <v>17</v>
      </c>
      <c r="K241" s="75" t="b">
        <v>0</v>
      </c>
      <c r="L241" s="71">
        <v>2019</v>
      </c>
      <c r="M241" s="72">
        <v>890000</v>
      </c>
      <c r="N241" s="76">
        <v>41275</v>
      </c>
      <c r="O241" s="76">
        <v>41275</v>
      </c>
    </row>
    <row r="242" spans="1:15" ht="14.25">
      <c r="A242" s="73">
        <v>2013</v>
      </c>
      <c r="B242" s="74" t="s">
        <v>387</v>
      </c>
      <c r="C242" s="74" t="s">
        <v>388</v>
      </c>
      <c r="D242" s="75">
        <v>3007042</v>
      </c>
      <c r="E242" s="75">
        <v>2</v>
      </c>
      <c r="F242" s="75"/>
      <c r="G242" s="74">
        <v>295</v>
      </c>
      <c r="H242" s="74" t="s">
        <v>254</v>
      </c>
      <c r="I242" s="75"/>
      <c r="J242" s="75" t="s">
        <v>248</v>
      </c>
      <c r="K242" s="75" t="b">
        <v>0</v>
      </c>
      <c r="L242" s="71">
        <v>2014</v>
      </c>
      <c r="M242" s="72">
        <v>634610</v>
      </c>
      <c r="N242" s="76">
        <v>41275</v>
      </c>
      <c r="O242" s="76">
        <v>41275</v>
      </c>
    </row>
    <row r="243" spans="1:15" ht="14.25">
      <c r="A243" s="73">
        <v>2013</v>
      </c>
      <c r="B243" s="74" t="s">
        <v>387</v>
      </c>
      <c r="C243" s="74" t="s">
        <v>388</v>
      </c>
      <c r="D243" s="75">
        <v>3007042</v>
      </c>
      <c r="E243" s="75">
        <v>2</v>
      </c>
      <c r="F243" s="75"/>
      <c r="G243" s="74">
        <v>520</v>
      </c>
      <c r="H243" s="74">
        <v>25</v>
      </c>
      <c r="I243" s="75" t="s">
        <v>407</v>
      </c>
      <c r="J243" s="75" t="s">
        <v>48</v>
      </c>
      <c r="K243" s="75" t="b">
        <v>1</v>
      </c>
      <c r="L243" s="71">
        <v>2017</v>
      </c>
      <c r="M243" s="72">
        <v>1400000</v>
      </c>
      <c r="N243" s="76">
        <v>41275</v>
      </c>
      <c r="O243" s="76">
        <v>41275</v>
      </c>
    </row>
    <row r="244" spans="1:15" ht="14.25">
      <c r="A244" s="73">
        <v>2013</v>
      </c>
      <c r="B244" s="74" t="s">
        <v>387</v>
      </c>
      <c r="C244" s="74" t="s">
        <v>388</v>
      </c>
      <c r="D244" s="75">
        <v>3007042</v>
      </c>
      <c r="E244" s="75">
        <v>2</v>
      </c>
      <c r="F244" s="75"/>
      <c r="G244" s="74">
        <v>230</v>
      </c>
      <c r="H244" s="74" t="s">
        <v>113</v>
      </c>
      <c r="I244" s="75"/>
      <c r="J244" s="75" t="s">
        <v>272</v>
      </c>
      <c r="K244" s="75" t="b">
        <v>1</v>
      </c>
      <c r="L244" s="71">
        <v>2014</v>
      </c>
      <c r="M244" s="72">
        <v>400000</v>
      </c>
      <c r="N244" s="76">
        <v>41275</v>
      </c>
      <c r="O244" s="76">
        <v>41275</v>
      </c>
    </row>
    <row r="245" spans="1:15" ht="14.25">
      <c r="A245" s="73">
        <v>2013</v>
      </c>
      <c r="B245" s="74" t="s">
        <v>387</v>
      </c>
      <c r="C245" s="74" t="s">
        <v>388</v>
      </c>
      <c r="D245" s="75">
        <v>3007042</v>
      </c>
      <c r="E245" s="75">
        <v>2</v>
      </c>
      <c r="F245" s="75"/>
      <c r="G245" s="74">
        <v>160</v>
      </c>
      <c r="H245" s="74">
        <v>3</v>
      </c>
      <c r="I245" s="75" t="s">
        <v>410</v>
      </c>
      <c r="J245" s="75" t="s">
        <v>105</v>
      </c>
      <c r="K245" s="75" t="b">
        <v>1</v>
      </c>
      <c r="L245" s="71">
        <v>2019</v>
      </c>
      <c r="M245" s="72">
        <v>1690000</v>
      </c>
      <c r="N245" s="76">
        <v>41275</v>
      </c>
      <c r="O245" s="76">
        <v>41275</v>
      </c>
    </row>
    <row r="246" spans="1:15" ht="14.25">
      <c r="A246" s="73">
        <v>2013</v>
      </c>
      <c r="B246" s="74" t="s">
        <v>387</v>
      </c>
      <c r="C246" s="74" t="s">
        <v>388</v>
      </c>
      <c r="D246" s="75">
        <v>3007042</v>
      </c>
      <c r="E246" s="75">
        <v>2</v>
      </c>
      <c r="F246" s="75"/>
      <c r="G246" s="74">
        <v>260</v>
      </c>
      <c r="H246" s="74">
        <v>9</v>
      </c>
      <c r="I246" s="75" t="s">
        <v>405</v>
      </c>
      <c r="J246" s="75" t="s">
        <v>116</v>
      </c>
      <c r="K246" s="75" t="b">
        <v>0</v>
      </c>
      <c r="L246" s="71">
        <v>2017</v>
      </c>
      <c r="M246" s="72">
        <v>550000</v>
      </c>
      <c r="N246" s="76">
        <v>41275</v>
      </c>
      <c r="O246" s="76">
        <v>41275</v>
      </c>
    </row>
    <row r="247" spans="1:15" ht="14.25">
      <c r="A247" s="73">
        <v>2013</v>
      </c>
      <c r="B247" s="74" t="s">
        <v>387</v>
      </c>
      <c r="C247" s="74" t="s">
        <v>388</v>
      </c>
      <c r="D247" s="75">
        <v>3007042</v>
      </c>
      <c r="E247" s="75">
        <v>2</v>
      </c>
      <c r="F247" s="75"/>
      <c r="G247" s="74">
        <v>270</v>
      </c>
      <c r="H247" s="74">
        <v>10</v>
      </c>
      <c r="I247" s="75"/>
      <c r="J247" s="75" t="s">
        <v>17</v>
      </c>
      <c r="K247" s="75" t="b">
        <v>0</v>
      </c>
      <c r="L247" s="71">
        <v>2018</v>
      </c>
      <c r="M247" s="72">
        <v>400000</v>
      </c>
      <c r="N247" s="76">
        <v>41275</v>
      </c>
      <c r="O247" s="76">
        <v>41275</v>
      </c>
    </row>
    <row r="248" spans="1:15" ht="14.25">
      <c r="A248" s="73">
        <v>2013</v>
      </c>
      <c r="B248" s="74" t="s">
        <v>387</v>
      </c>
      <c r="C248" s="74" t="s">
        <v>388</v>
      </c>
      <c r="D248" s="75">
        <v>3007042</v>
      </c>
      <c r="E248" s="75">
        <v>2</v>
      </c>
      <c r="F248" s="75"/>
      <c r="G248" s="74">
        <v>200</v>
      </c>
      <c r="H248" s="74">
        <v>7</v>
      </c>
      <c r="I248" s="75" t="s">
        <v>396</v>
      </c>
      <c r="J248" s="75" t="s">
        <v>11</v>
      </c>
      <c r="K248" s="75" t="b">
        <v>1</v>
      </c>
      <c r="L248" s="71">
        <v>2019</v>
      </c>
      <c r="M248" s="72">
        <v>800000</v>
      </c>
      <c r="N248" s="76">
        <v>41275</v>
      </c>
      <c r="O248" s="76">
        <v>41275</v>
      </c>
    </row>
    <row r="249" spans="1:15" ht="14.25">
      <c r="A249" s="73">
        <v>2013</v>
      </c>
      <c r="B249" s="74" t="s">
        <v>387</v>
      </c>
      <c r="C249" s="74" t="s">
        <v>388</v>
      </c>
      <c r="D249" s="75">
        <v>3007042</v>
      </c>
      <c r="E249" s="75">
        <v>2</v>
      </c>
      <c r="F249" s="75"/>
      <c r="G249" s="74">
        <v>490</v>
      </c>
      <c r="H249" s="74" t="s">
        <v>131</v>
      </c>
      <c r="I249" s="75" t="s">
        <v>389</v>
      </c>
      <c r="J249" s="75" t="s">
        <v>289</v>
      </c>
      <c r="K249" s="75" t="b">
        <v>0</v>
      </c>
      <c r="L249" s="71">
        <v>2019</v>
      </c>
      <c r="M249" s="72">
        <v>212</v>
      </c>
      <c r="N249" s="76">
        <v>41275</v>
      </c>
      <c r="O249" s="76">
        <v>41275</v>
      </c>
    </row>
    <row r="250" spans="1:15" ht="14.25">
      <c r="A250" s="73">
        <v>2013</v>
      </c>
      <c r="B250" s="74" t="s">
        <v>387</v>
      </c>
      <c r="C250" s="74" t="s">
        <v>388</v>
      </c>
      <c r="D250" s="75">
        <v>3007042</v>
      </c>
      <c r="E250" s="75">
        <v>2</v>
      </c>
      <c r="F250" s="75"/>
      <c r="G250" s="74">
        <v>430</v>
      </c>
      <c r="H250" s="74" t="s">
        <v>127</v>
      </c>
      <c r="I250" s="75" t="s">
        <v>397</v>
      </c>
      <c r="J250" s="75" t="s">
        <v>72</v>
      </c>
      <c r="K250" s="75" t="b">
        <v>0</v>
      </c>
      <c r="L250" s="71">
        <v>2021</v>
      </c>
      <c r="M250" s="72">
        <v>0.0213</v>
      </c>
      <c r="N250" s="76">
        <v>41275</v>
      </c>
      <c r="O250" s="76">
        <v>41275</v>
      </c>
    </row>
    <row r="251" spans="1:15" ht="14.25">
      <c r="A251" s="73">
        <v>2013</v>
      </c>
      <c r="B251" s="74" t="s">
        <v>387</v>
      </c>
      <c r="C251" s="74" t="s">
        <v>388</v>
      </c>
      <c r="D251" s="75">
        <v>3007042</v>
      </c>
      <c r="E251" s="75">
        <v>2</v>
      </c>
      <c r="F251" s="75"/>
      <c r="G251" s="74">
        <v>280</v>
      </c>
      <c r="H251" s="74" t="s">
        <v>117</v>
      </c>
      <c r="I251" s="75"/>
      <c r="J251" s="75" t="s">
        <v>118</v>
      </c>
      <c r="K251" s="75" t="b">
        <v>0</v>
      </c>
      <c r="L251" s="71">
        <v>2013</v>
      </c>
      <c r="M251" s="72">
        <v>1820000</v>
      </c>
      <c r="N251" s="76">
        <v>41275</v>
      </c>
      <c r="O251" s="76">
        <v>41275</v>
      </c>
    </row>
    <row r="252" spans="1:15" ht="14.25">
      <c r="A252" s="73">
        <v>2013</v>
      </c>
      <c r="B252" s="74" t="s">
        <v>387</v>
      </c>
      <c r="C252" s="74" t="s">
        <v>388</v>
      </c>
      <c r="D252" s="75">
        <v>3007042</v>
      </c>
      <c r="E252" s="75">
        <v>2</v>
      </c>
      <c r="F252" s="75"/>
      <c r="G252" s="74">
        <v>440</v>
      </c>
      <c r="H252" s="74">
        <v>20</v>
      </c>
      <c r="I252" s="75" t="s">
        <v>399</v>
      </c>
      <c r="J252" s="75" t="s">
        <v>128</v>
      </c>
      <c r="K252" s="75" t="b">
        <v>1</v>
      </c>
      <c r="L252" s="71">
        <v>2019</v>
      </c>
      <c r="M252" s="72">
        <v>0.0614</v>
      </c>
      <c r="N252" s="76">
        <v>41275</v>
      </c>
      <c r="O252" s="76">
        <v>41275</v>
      </c>
    </row>
    <row r="253" spans="1:15" ht="14.25">
      <c r="A253" s="73">
        <v>2013</v>
      </c>
      <c r="B253" s="74" t="s">
        <v>387</v>
      </c>
      <c r="C253" s="74" t="s">
        <v>388</v>
      </c>
      <c r="D253" s="75">
        <v>3007042</v>
      </c>
      <c r="E253" s="75">
        <v>2</v>
      </c>
      <c r="F253" s="75"/>
      <c r="G253" s="74">
        <v>540</v>
      </c>
      <c r="H253" s="74">
        <v>27</v>
      </c>
      <c r="I253" s="75" t="s">
        <v>390</v>
      </c>
      <c r="J253" s="75" t="s">
        <v>45</v>
      </c>
      <c r="K253" s="75" t="b">
        <v>0</v>
      </c>
      <c r="L253" s="71">
        <v>2015</v>
      </c>
      <c r="M253" s="72">
        <v>22757000</v>
      </c>
      <c r="N253" s="76">
        <v>41275</v>
      </c>
      <c r="O253" s="76">
        <v>41275</v>
      </c>
    </row>
    <row r="254" spans="1:15" ht="14.25">
      <c r="A254" s="73">
        <v>2013</v>
      </c>
      <c r="B254" s="74" t="s">
        <v>387</v>
      </c>
      <c r="C254" s="74" t="s">
        <v>388</v>
      </c>
      <c r="D254" s="75">
        <v>3007042</v>
      </c>
      <c r="E254" s="75">
        <v>2</v>
      </c>
      <c r="F254" s="75"/>
      <c r="G254" s="74">
        <v>540</v>
      </c>
      <c r="H254" s="74">
        <v>27</v>
      </c>
      <c r="I254" s="75" t="s">
        <v>390</v>
      </c>
      <c r="J254" s="75" t="s">
        <v>45</v>
      </c>
      <c r="K254" s="75" t="b">
        <v>0</v>
      </c>
      <c r="L254" s="71">
        <v>2016</v>
      </c>
      <c r="M254" s="72">
        <v>23248000</v>
      </c>
      <c r="N254" s="76">
        <v>41275</v>
      </c>
      <c r="O254" s="76">
        <v>41275</v>
      </c>
    </row>
    <row r="255" spans="1:15" ht="14.25">
      <c r="A255" s="73">
        <v>2013</v>
      </c>
      <c r="B255" s="74" t="s">
        <v>387</v>
      </c>
      <c r="C255" s="74" t="s">
        <v>388</v>
      </c>
      <c r="D255" s="75">
        <v>3007042</v>
      </c>
      <c r="E255" s="75">
        <v>2</v>
      </c>
      <c r="F255" s="75"/>
      <c r="G255" s="74">
        <v>160</v>
      </c>
      <c r="H255" s="74">
        <v>3</v>
      </c>
      <c r="I255" s="75" t="s">
        <v>410</v>
      </c>
      <c r="J255" s="75" t="s">
        <v>105</v>
      </c>
      <c r="K255" s="75" t="b">
        <v>1</v>
      </c>
      <c r="L255" s="71">
        <v>2013</v>
      </c>
      <c r="M255" s="72">
        <v>2181219</v>
      </c>
      <c r="N255" s="76">
        <v>41275</v>
      </c>
      <c r="O255" s="76">
        <v>41275</v>
      </c>
    </row>
    <row r="256" spans="1:15" ht="14.25">
      <c r="A256" s="73">
        <v>2013</v>
      </c>
      <c r="B256" s="74" t="s">
        <v>387</v>
      </c>
      <c r="C256" s="74" t="s">
        <v>388</v>
      </c>
      <c r="D256" s="75">
        <v>3007042</v>
      </c>
      <c r="E256" s="75">
        <v>2</v>
      </c>
      <c r="F256" s="75"/>
      <c r="G256" s="74">
        <v>440</v>
      </c>
      <c r="H256" s="74">
        <v>20</v>
      </c>
      <c r="I256" s="75" t="s">
        <v>399</v>
      </c>
      <c r="J256" s="75" t="s">
        <v>128</v>
      </c>
      <c r="K256" s="75" t="b">
        <v>1</v>
      </c>
      <c r="L256" s="71">
        <v>2013</v>
      </c>
      <c r="M256" s="72">
        <v>0.0467</v>
      </c>
      <c r="N256" s="76">
        <v>41275</v>
      </c>
      <c r="O256" s="76">
        <v>41275</v>
      </c>
    </row>
    <row r="257" spans="1:15" ht="14.25">
      <c r="A257" s="73">
        <v>2013</v>
      </c>
      <c r="B257" s="74" t="s">
        <v>387</v>
      </c>
      <c r="C257" s="74" t="s">
        <v>388</v>
      </c>
      <c r="D257" s="75">
        <v>3007042</v>
      </c>
      <c r="E257" s="75">
        <v>2</v>
      </c>
      <c r="F257" s="75"/>
      <c r="G257" s="74">
        <v>520</v>
      </c>
      <c r="H257" s="74">
        <v>25</v>
      </c>
      <c r="I257" s="75" t="s">
        <v>407</v>
      </c>
      <c r="J257" s="75" t="s">
        <v>48</v>
      </c>
      <c r="K257" s="75" t="b">
        <v>1</v>
      </c>
      <c r="L257" s="71">
        <v>2021</v>
      </c>
      <c r="M257" s="72">
        <v>1310000</v>
      </c>
      <c r="N257" s="76">
        <v>41275</v>
      </c>
      <c r="O257" s="76">
        <v>41275</v>
      </c>
    </row>
    <row r="258" spans="1:15" ht="14.25">
      <c r="A258" s="73">
        <v>2013</v>
      </c>
      <c r="B258" s="74" t="s">
        <v>387</v>
      </c>
      <c r="C258" s="74" t="s">
        <v>388</v>
      </c>
      <c r="D258" s="75">
        <v>3007042</v>
      </c>
      <c r="E258" s="75">
        <v>2</v>
      </c>
      <c r="F258" s="75"/>
      <c r="G258" s="74">
        <v>471</v>
      </c>
      <c r="H258" s="74" t="s">
        <v>260</v>
      </c>
      <c r="I258" s="75" t="s">
        <v>391</v>
      </c>
      <c r="J258" s="75" t="s">
        <v>287</v>
      </c>
      <c r="K258" s="75" t="b">
        <v>0</v>
      </c>
      <c r="L258" s="71">
        <v>2013</v>
      </c>
      <c r="M258" s="72">
        <v>775</v>
      </c>
      <c r="N258" s="76">
        <v>41275</v>
      </c>
      <c r="O258" s="76">
        <v>41275</v>
      </c>
    </row>
    <row r="259" spans="1:15" ht="14.25">
      <c r="A259" s="73">
        <v>2013</v>
      </c>
      <c r="B259" s="74" t="s">
        <v>387</v>
      </c>
      <c r="C259" s="74" t="s">
        <v>388</v>
      </c>
      <c r="D259" s="75">
        <v>3007042</v>
      </c>
      <c r="E259" s="75">
        <v>2</v>
      </c>
      <c r="F259" s="75"/>
      <c r="G259" s="74">
        <v>420</v>
      </c>
      <c r="H259" s="74">
        <v>19</v>
      </c>
      <c r="I259" s="75" t="s">
        <v>401</v>
      </c>
      <c r="J259" s="75" t="s">
        <v>70</v>
      </c>
      <c r="K259" s="75" t="b">
        <v>1</v>
      </c>
      <c r="L259" s="71">
        <v>2013</v>
      </c>
      <c r="M259" s="72">
        <v>0.0387</v>
      </c>
      <c r="N259" s="76">
        <v>41275</v>
      </c>
      <c r="O259" s="76">
        <v>41275</v>
      </c>
    </row>
    <row r="260" spans="1:15" ht="14.25">
      <c r="A260" s="73">
        <v>2013</v>
      </c>
      <c r="B260" s="74" t="s">
        <v>387</v>
      </c>
      <c r="C260" s="74" t="s">
        <v>388</v>
      </c>
      <c r="D260" s="75">
        <v>3007042</v>
      </c>
      <c r="E260" s="75">
        <v>2</v>
      </c>
      <c r="F260" s="75"/>
      <c r="G260" s="74">
        <v>260</v>
      </c>
      <c r="H260" s="74">
        <v>9</v>
      </c>
      <c r="I260" s="75" t="s">
        <v>405</v>
      </c>
      <c r="J260" s="75" t="s">
        <v>116</v>
      </c>
      <c r="K260" s="75" t="b">
        <v>0</v>
      </c>
      <c r="L260" s="71">
        <v>2014</v>
      </c>
      <c r="M260" s="72">
        <v>1120000</v>
      </c>
      <c r="N260" s="76">
        <v>41275</v>
      </c>
      <c r="O260" s="76">
        <v>41275</v>
      </c>
    </row>
    <row r="261" spans="1:15" ht="14.25">
      <c r="A261" s="73">
        <v>2013</v>
      </c>
      <c r="B261" s="74" t="s">
        <v>387</v>
      </c>
      <c r="C261" s="74" t="s">
        <v>388</v>
      </c>
      <c r="D261" s="75">
        <v>3007042</v>
      </c>
      <c r="E261" s="75">
        <v>2</v>
      </c>
      <c r="F261" s="75"/>
      <c r="G261" s="74">
        <v>295</v>
      </c>
      <c r="H261" s="74" t="s">
        <v>254</v>
      </c>
      <c r="I261" s="75"/>
      <c r="J261" s="75" t="s">
        <v>248</v>
      </c>
      <c r="K261" s="75" t="b">
        <v>0</v>
      </c>
      <c r="L261" s="71">
        <v>2013</v>
      </c>
      <c r="M261" s="72">
        <v>693738</v>
      </c>
      <c r="N261" s="76">
        <v>41275</v>
      </c>
      <c r="O261" s="76">
        <v>41275</v>
      </c>
    </row>
    <row r="262" spans="1:15" ht="14.25">
      <c r="A262" s="73">
        <v>2013</v>
      </c>
      <c r="B262" s="74" t="s">
        <v>387</v>
      </c>
      <c r="C262" s="74" t="s">
        <v>388</v>
      </c>
      <c r="D262" s="75">
        <v>3007042</v>
      </c>
      <c r="E262" s="75">
        <v>2</v>
      </c>
      <c r="F262" s="75"/>
      <c r="G262" s="74">
        <v>270</v>
      </c>
      <c r="H262" s="74">
        <v>10</v>
      </c>
      <c r="I262" s="75"/>
      <c r="J262" s="75" t="s">
        <v>17</v>
      </c>
      <c r="K262" s="75" t="b">
        <v>0</v>
      </c>
      <c r="L262" s="71">
        <v>2020</v>
      </c>
      <c r="M262" s="72">
        <v>980000</v>
      </c>
      <c r="N262" s="76">
        <v>41275</v>
      </c>
      <c r="O262" s="76">
        <v>41275</v>
      </c>
    </row>
    <row r="263" spans="1:15" ht="14.25">
      <c r="A263" s="73">
        <v>2013</v>
      </c>
      <c r="B263" s="74" t="s">
        <v>387</v>
      </c>
      <c r="C263" s="74" t="s">
        <v>388</v>
      </c>
      <c r="D263" s="75">
        <v>3007042</v>
      </c>
      <c r="E263" s="75">
        <v>2</v>
      </c>
      <c r="F263" s="75"/>
      <c r="G263" s="74">
        <v>520</v>
      </c>
      <c r="H263" s="74">
        <v>25</v>
      </c>
      <c r="I263" s="75" t="s">
        <v>407</v>
      </c>
      <c r="J263" s="75" t="s">
        <v>48</v>
      </c>
      <c r="K263" s="75" t="b">
        <v>1</v>
      </c>
      <c r="L263" s="71">
        <v>2013</v>
      </c>
      <c r="M263" s="72">
        <v>787481</v>
      </c>
      <c r="N263" s="76">
        <v>41275</v>
      </c>
      <c r="O263" s="76">
        <v>41275</v>
      </c>
    </row>
    <row r="264" spans="1:15" ht="14.25">
      <c r="A264" s="73">
        <v>2013</v>
      </c>
      <c r="B264" s="74" t="s">
        <v>387</v>
      </c>
      <c r="C264" s="74" t="s">
        <v>388</v>
      </c>
      <c r="D264" s="75">
        <v>3007042</v>
      </c>
      <c r="E264" s="75">
        <v>2</v>
      </c>
      <c r="F264" s="75"/>
      <c r="G264" s="74">
        <v>240</v>
      </c>
      <c r="H264" s="74" t="s">
        <v>114</v>
      </c>
      <c r="I264" s="75"/>
      <c r="J264" s="75" t="s">
        <v>273</v>
      </c>
      <c r="K264" s="75" t="b">
        <v>1</v>
      </c>
      <c r="L264" s="71">
        <v>2013</v>
      </c>
      <c r="M264" s="72">
        <v>400000</v>
      </c>
      <c r="N264" s="76">
        <v>41275</v>
      </c>
      <c r="O264" s="76">
        <v>41275</v>
      </c>
    </row>
    <row r="265" spans="1:15" ht="14.25">
      <c r="A265" s="73">
        <v>2013</v>
      </c>
      <c r="B265" s="74" t="s">
        <v>387</v>
      </c>
      <c r="C265" s="74" t="s">
        <v>388</v>
      </c>
      <c r="D265" s="75">
        <v>3007042</v>
      </c>
      <c r="E265" s="75">
        <v>2</v>
      </c>
      <c r="F265" s="75"/>
      <c r="G265" s="74">
        <v>450</v>
      </c>
      <c r="H265" s="74" t="s">
        <v>129</v>
      </c>
      <c r="I265" s="75" t="s">
        <v>392</v>
      </c>
      <c r="J265" s="75" t="s">
        <v>52</v>
      </c>
      <c r="K265" s="75" t="b">
        <v>0</v>
      </c>
      <c r="L265" s="71">
        <v>2017</v>
      </c>
      <c r="M265" s="72">
        <v>0.0475</v>
      </c>
      <c r="N265" s="76">
        <v>41275</v>
      </c>
      <c r="O265" s="76">
        <v>41275</v>
      </c>
    </row>
    <row r="266" spans="1:15" ht="14.25">
      <c r="A266" s="73">
        <v>2013</v>
      </c>
      <c r="B266" s="74" t="s">
        <v>387</v>
      </c>
      <c r="C266" s="74" t="s">
        <v>388</v>
      </c>
      <c r="D266" s="75">
        <v>3007042</v>
      </c>
      <c r="E266" s="75">
        <v>2</v>
      </c>
      <c r="F266" s="75"/>
      <c r="G266" s="74">
        <v>160</v>
      </c>
      <c r="H266" s="74">
        <v>3</v>
      </c>
      <c r="I266" s="75" t="s">
        <v>410</v>
      </c>
      <c r="J266" s="75" t="s">
        <v>105</v>
      </c>
      <c r="K266" s="75" t="b">
        <v>1</v>
      </c>
      <c r="L266" s="71">
        <v>2016</v>
      </c>
      <c r="M266" s="72">
        <v>1430000</v>
      </c>
      <c r="N266" s="76">
        <v>41275</v>
      </c>
      <c r="O266" s="76">
        <v>41275</v>
      </c>
    </row>
    <row r="267" spans="1:15" ht="14.25">
      <c r="A267" s="73">
        <v>2013</v>
      </c>
      <c r="B267" s="74" t="s">
        <v>387</v>
      </c>
      <c r="C267" s="74" t="s">
        <v>388</v>
      </c>
      <c r="D267" s="75">
        <v>3007042</v>
      </c>
      <c r="E267" s="75">
        <v>2</v>
      </c>
      <c r="F267" s="75"/>
      <c r="G267" s="74">
        <v>550</v>
      </c>
      <c r="H267" s="74">
        <v>28</v>
      </c>
      <c r="I267" s="75" t="s">
        <v>398</v>
      </c>
      <c r="J267" s="75" t="s">
        <v>47</v>
      </c>
      <c r="K267" s="75" t="b">
        <v>0</v>
      </c>
      <c r="L267" s="71">
        <v>2013</v>
      </c>
      <c r="M267" s="72">
        <v>-1500000</v>
      </c>
      <c r="N267" s="76">
        <v>41275</v>
      </c>
      <c r="O267" s="76">
        <v>41275</v>
      </c>
    </row>
    <row r="268" spans="1:15" ht="14.25">
      <c r="A268" s="73">
        <v>2013</v>
      </c>
      <c r="B268" s="74" t="s">
        <v>387</v>
      </c>
      <c r="C268" s="74" t="s">
        <v>388</v>
      </c>
      <c r="D268" s="75">
        <v>3007042</v>
      </c>
      <c r="E268" s="75">
        <v>2</v>
      </c>
      <c r="F268" s="75"/>
      <c r="G268" s="74">
        <v>1</v>
      </c>
      <c r="H268" s="74">
        <v>1</v>
      </c>
      <c r="I268" s="75" t="s">
        <v>411</v>
      </c>
      <c r="J268" s="75" t="s">
        <v>89</v>
      </c>
      <c r="K268" s="75" t="b">
        <v>1</v>
      </c>
      <c r="L268" s="71">
        <v>2015</v>
      </c>
      <c r="M268" s="72">
        <v>23547000</v>
      </c>
      <c r="N268" s="76">
        <v>41275</v>
      </c>
      <c r="O268" s="76">
        <v>41275</v>
      </c>
    </row>
    <row r="269" spans="1:15" ht="14.25">
      <c r="A269" s="73">
        <v>2013</v>
      </c>
      <c r="B269" s="74" t="s">
        <v>387</v>
      </c>
      <c r="C269" s="74" t="s">
        <v>388</v>
      </c>
      <c r="D269" s="75">
        <v>3007042</v>
      </c>
      <c r="E269" s="75">
        <v>2</v>
      </c>
      <c r="F269" s="75"/>
      <c r="G269" s="74">
        <v>1</v>
      </c>
      <c r="H269" s="74">
        <v>1</v>
      </c>
      <c r="I269" s="75" t="s">
        <v>411</v>
      </c>
      <c r="J269" s="75" t="s">
        <v>89</v>
      </c>
      <c r="K269" s="75" t="b">
        <v>1</v>
      </c>
      <c r="L269" s="71">
        <v>2020</v>
      </c>
      <c r="M269" s="72">
        <v>25360000</v>
      </c>
      <c r="N269" s="76">
        <v>41275</v>
      </c>
      <c r="O269" s="76">
        <v>41275</v>
      </c>
    </row>
    <row r="270" spans="1:15" ht="14.25">
      <c r="A270" s="73">
        <v>2013</v>
      </c>
      <c r="B270" s="74" t="s">
        <v>387</v>
      </c>
      <c r="C270" s="74" t="s">
        <v>388</v>
      </c>
      <c r="D270" s="75">
        <v>3007042</v>
      </c>
      <c r="E270" s="75">
        <v>2</v>
      </c>
      <c r="F270" s="75"/>
      <c r="G270" s="74">
        <v>1</v>
      </c>
      <c r="H270" s="74">
        <v>1</v>
      </c>
      <c r="I270" s="75" t="s">
        <v>411</v>
      </c>
      <c r="J270" s="75" t="s">
        <v>89</v>
      </c>
      <c r="K270" s="75" t="b">
        <v>1</v>
      </c>
      <c r="L270" s="71">
        <v>2014</v>
      </c>
      <c r="M270" s="72">
        <v>23705610</v>
      </c>
      <c r="N270" s="76">
        <v>41275</v>
      </c>
      <c r="O270" s="76">
        <v>41275</v>
      </c>
    </row>
    <row r="271" spans="1:15" ht="14.25">
      <c r="A271" s="73">
        <v>2013</v>
      </c>
      <c r="B271" s="74" t="s">
        <v>387</v>
      </c>
      <c r="C271" s="74" t="s">
        <v>388</v>
      </c>
      <c r="D271" s="75">
        <v>3007042</v>
      </c>
      <c r="E271" s="75">
        <v>2</v>
      </c>
      <c r="F271" s="75"/>
      <c r="G271" s="74">
        <v>2</v>
      </c>
      <c r="H271" s="74" t="s">
        <v>90</v>
      </c>
      <c r="I271" s="75"/>
      <c r="J271" s="75" t="s">
        <v>263</v>
      </c>
      <c r="K271" s="75" t="b">
        <v>1</v>
      </c>
      <c r="L271" s="71">
        <v>2015</v>
      </c>
      <c r="M271" s="72">
        <v>23547000</v>
      </c>
      <c r="N271" s="76">
        <v>41275</v>
      </c>
      <c r="O271" s="76">
        <v>41275</v>
      </c>
    </row>
    <row r="272" spans="1:15" ht="14.25">
      <c r="A272" s="73">
        <v>2013</v>
      </c>
      <c r="B272" s="74" t="s">
        <v>387</v>
      </c>
      <c r="C272" s="74" t="s">
        <v>388</v>
      </c>
      <c r="D272" s="75">
        <v>3007042</v>
      </c>
      <c r="E272" s="75">
        <v>2</v>
      </c>
      <c r="F272" s="75"/>
      <c r="G272" s="74">
        <v>1</v>
      </c>
      <c r="H272" s="74">
        <v>1</v>
      </c>
      <c r="I272" s="75" t="s">
        <v>411</v>
      </c>
      <c r="J272" s="75" t="s">
        <v>89</v>
      </c>
      <c r="K272" s="75" t="b">
        <v>1</v>
      </c>
      <c r="L272" s="71">
        <v>2018</v>
      </c>
      <c r="M272" s="72">
        <v>24800000</v>
      </c>
      <c r="N272" s="76">
        <v>41275</v>
      </c>
      <c r="O272" s="76">
        <v>41275</v>
      </c>
    </row>
    <row r="273" spans="1:15" ht="14.25">
      <c r="A273" s="73">
        <v>2013</v>
      </c>
      <c r="B273" s="74" t="s">
        <v>387</v>
      </c>
      <c r="C273" s="74" t="s">
        <v>388</v>
      </c>
      <c r="D273" s="75">
        <v>3007042</v>
      </c>
      <c r="E273" s="75">
        <v>2</v>
      </c>
      <c r="F273" s="75"/>
      <c r="G273" s="74">
        <v>210</v>
      </c>
      <c r="H273" s="74" t="s">
        <v>110</v>
      </c>
      <c r="I273" s="75"/>
      <c r="J273" s="75" t="s">
        <v>271</v>
      </c>
      <c r="K273" s="75" t="b">
        <v>1</v>
      </c>
      <c r="L273" s="71">
        <v>2015</v>
      </c>
      <c r="M273" s="72">
        <v>790000</v>
      </c>
      <c r="N273" s="76">
        <v>41275</v>
      </c>
      <c r="O273" s="76">
        <v>41275</v>
      </c>
    </row>
    <row r="274" spans="1:15" ht="14.25">
      <c r="A274" s="73">
        <v>2013</v>
      </c>
      <c r="B274" s="74" t="s">
        <v>387</v>
      </c>
      <c r="C274" s="74" t="s">
        <v>388</v>
      </c>
      <c r="D274" s="75">
        <v>3007042</v>
      </c>
      <c r="E274" s="75">
        <v>2</v>
      </c>
      <c r="F274" s="75"/>
      <c r="G274" s="74">
        <v>520</v>
      </c>
      <c r="H274" s="74">
        <v>25</v>
      </c>
      <c r="I274" s="75" t="s">
        <v>407</v>
      </c>
      <c r="J274" s="75" t="s">
        <v>48</v>
      </c>
      <c r="K274" s="75" t="b">
        <v>1</v>
      </c>
      <c r="L274" s="71">
        <v>2019</v>
      </c>
      <c r="M274" s="72">
        <v>1540000</v>
      </c>
      <c r="N274" s="76">
        <v>41275</v>
      </c>
      <c r="O274" s="76">
        <v>41275</v>
      </c>
    </row>
    <row r="275" spans="1:15" ht="14.25">
      <c r="A275" s="73">
        <v>2013</v>
      </c>
      <c r="B275" s="74" t="s">
        <v>387</v>
      </c>
      <c r="C275" s="74" t="s">
        <v>388</v>
      </c>
      <c r="D275" s="75">
        <v>3007042</v>
      </c>
      <c r="E275" s="75">
        <v>2</v>
      </c>
      <c r="F275" s="75"/>
      <c r="G275" s="74">
        <v>420</v>
      </c>
      <c r="H275" s="74">
        <v>19</v>
      </c>
      <c r="I275" s="75" t="s">
        <v>401</v>
      </c>
      <c r="J275" s="75" t="s">
        <v>70</v>
      </c>
      <c r="K275" s="75" t="b">
        <v>1</v>
      </c>
      <c r="L275" s="71">
        <v>2020</v>
      </c>
      <c r="M275" s="72">
        <v>0.0292</v>
      </c>
      <c r="N275" s="76">
        <v>41275</v>
      </c>
      <c r="O275" s="76">
        <v>41275</v>
      </c>
    </row>
    <row r="276" spans="1:15" ht="14.25">
      <c r="A276" s="73">
        <v>2013</v>
      </c>
      <c r="B276" s="74" t="s">
        <v>387</v>
      </c>
      <c r="C276" s="74" t="s">
        <v>388</v>
      </c>
      <c r="D276" s="75">
        <v>3007042</v>
      </c>
      <c r="E276" s="75">
        <v>2</v>
      </c>
      <c r="F276" s="75"/>
      <c r="G276" s="74">
        <v>370</v>
      </c>
      <c r="H276" s="74">
        <v>16</v>
      </c>
      <c r="I276" s="75"/>
      <c r="J276" s="75" t="s">
        <v>124</v>
      </c>
      <c r="K276" s="75" t="b">
        <v>1</v>
      </c>
      <c r="L276" s="71">
        <v>2017</v>
      </c>
      <c r="M276" s="72">
        <v>850000</v>
      </c>
      <c r="N276" s="76">
        <v>41275</v>
      </c>
      <c r="O276" s="76">
        <v>41275</v>
      </c>
    </row>
    <row r="277" spans="1:15" ht="14.25">
      <c r="A277" s="73">
        <v>2013</v>
      </c>
      <c r="B277" s="74" t="s">
        <v>387</v>
      </c>
      <c r="C277" s="74" t="s">
        <v>388</v>
      </c>
      <c r="D277" s="75">
        <v>3007042</v>
      </c>
      <c r="E277" s="75">
        <v>2</v>
      </c>
      <c r="F277" s="75"/>
      <c r="G277" s="74">
        <v>200</v>
      </c>
      <c r="H277" s="74">
        <v>7</v>
      </c>
      <c r="I277" s="75" t="s">
        <v>396</v>
      </c>
      <c r="J277" s="75" t="s">
        <v>11</v>
      </c>
      <c r="K277" s="75" t="b">
        <v>1</v>
      </c>
      <c r="L277" s="71">
        <v>2015</v>
      </c>
      <c r="M277" s="72">
        <v>1165000</v>
      </c>
      <c r="N277" s="76">
        <v>41275</v>
      </c>
      <c r="O277" s="76">
        <v>41275</v>
      </c>
    </row>
    <row r="278" spans="1:15" ht="14.25">
      <c r="A278" s="73">
        <v>2013</v>
      </c>
      <c r="B278" s="74" t="s">
        <v>387</v>
      </c>
      <c r="C278" s="74" t="s">
        <v>388</v>
      </c>
      <c r="D278" s="75">
        <v>3007042</v>
      </c>
      <c r="E278" s="75">
        <v>2</v>
      </c>
      <c r="F278" s="75"/>
      <c r="G278" s="74">
        <v>480</v>
      </c>
      <c r="H278" s="74">
        <v>22</v>
      </c>
      <c r="I278" s="75" t="s">
        <v>393</v>
      </c>
      <c r="J278" s="75" t="s">
        <v>288</v>
      </c>
      <c r="K278" s="75" t="b">
        <v>0</v>
      </c>
      <c r="L278" s="71">
        <v>2015</v>
      </c>
      <c r="M278" s="72">
        <v>0.0495</v>
      </c>
      <c r="N278" s="76">
        <v>41275</v>
      </c>
      <c r="O278" s="76">
        <v>41275</v>
      </c>
    </row>
    <row r="279" spans="1:15" ht="14.25">
      <c r="A279" s="73">
        <v>2013</v>
      </c>
      <c r="B279" s="74" t="s">
        <v>387</v>
      </c>
      <c r="C279" s="74" t="s">
        <v>388</v>
      </c>
      <c r="D279" s="75">
        <v>3007042</v>
      </c>
      <c r="E279" s="75">
        <v>2</v>
      </c>
      <c r="F279" s="75"/>
      <c r="G279" s="74">
        <v>491</v>
      </c>
      <c r="H279" s="74" t="s">
        <v>261</v>
      </c>
      <c r="I279" s="75" t="s">
        <v>389</v>
      </c>
      <c r="J279" s="75" t="s">
        <v>290</v>
      </c>
      <c r="K279" s="75" t="b">
        <v>0</v>
      </c>
      <c r="L279" s="71">
        <v>2021</v>
      </c>
      <c r="M279" s="72">
        <v>393</v>
      </c>
      <c r="N279" s="76">
        <v>41275</v>
      </c>
      <c r="O279" s="76">
        <v>41275</v>
      </c>
    </row>
    <row r="280" spans="1:15" ht="14.25">
      <c r="A280" s="73">
        <v>2013</v>
      </c>
      <c r="B280" s="74" t="s">
        <v>387</v>
      </c>
      <c r="C280" s="74" t="s">
        <v>388</v>
      </c>
      <c r="D280" s="75">
        <v>3007042</v>
      </c>
      <c r="E280" s="75">
        <v>2</v>
      </c>
      <c r="F280" s="75"/>
      <c r="G280" s="74">
        <v>540</v>
      </c>
      <c r="H280" s="74">
        <v>27</v>
      </c>
      <c r="I280" s="75" t="s">
        <v>390</v>
      </c>
      <c r="J280" s="75" t="s">
        <v>45</v>
      </c>
      <c r="K280" s="75" t="b">
        <v>0</v>
      </c>
      <c r="L280" s="71">
        <v>2017</v>
      </c>
      <c r="M280" s="72">
        <v>23650000</v>
      </c>
      <c r="N280" s="76">
        <v>41275</v>
      </c>
      <c r="O280" s="76">
        <v>41275</v>
      </c>
    </row>
    <row r="281" spans="1:15" ht="14.25">
      <c r="A281" s="73">
        <v>2013</v>
      </c>
      <c r="B281" s="74" t="s">
        <v>387</v>
      </c>
      <c r="C281" s="74" t="s">
        <v>388</v>
      </c>
      <c r="D281" s="75">
        <v>3007042</v>
      </c>
      <c r="E281" s="75">
        <v>2</v>
      </c>
      <c r="F281" s="75"/>
      <c r="G281" s="74">
        <v>200</v>
      </c>
      <c r="H281" s="74">
        <v>7</v>
      </c>
      <c r="I281" s="75" t="s">
        <v>396</v>
      </c>
      <c r="J281" s="75" t="s">
        <v>11</v>
      </c>
      <c r="K281" s="75" t="b">
        <v>1</v>
      </c>
      <c r="L281" s="71">
        <v>2020</v>
      </c>
      <c r="M281" s="72">
        <v>740000</v>
      </c>
      <c r="N281" s="76">
        <v>41275</v>
      </c>
      <c r="O281" s="76">
        <v>41275</v>
      </c>
    </row>
    <row r="282" spans="1:15" ht="14.25">
      <c r="A282" s="73">
        <v>2013</v>
      </c>
      <c r="B282" s="74" t="s">
        <v>387</v>
      </c>
      <c r="C282" s="74" t="s">
        <v>388</v>
      </c>
      <c r="D282" s="75">
        <v>3007042</v>
      </c>
      <c r="E282" s="75">
        <v>2</v>
      </c>
      <c r="F282" s="75"/>
      <c r="G282" s="74">
        <v>410</v>
      </c>
      <c r="H282" s="74" t="s">
        <v>126</v>
      </c>
      <c r="I282" s="75" t="s">
        <v>395</v>
      </c>
      <c r="J282" s="75" t="s">
        <v>69</v>
      </c>
      <c r="K282" s="75" t="b">
        <v>0</v>
      </c>
      <c r="L282" s="71">
        <v>2016</v>
      </c>
      <c r="M282" s="72">
        <v>0.1511</v>
      </c>
      <c r="N282" s="76">
        <v>41275</v>
      </c>
      <c r="O282" s="76">
        <v>41275</v>
      </c>
    </row>
    <row r="283" spans="1:15" ht="14.25">
      <c r="A283" s="73">
        <v>2013</v>
      </c>
      <c r="B283" s="74" t="s">
        <v>387</v>
      </c>
      <c r="C283" s="74" t="s">
        <v>388</v>
      </c>
      <c r="D283" s="75">
        <v>3007042</v>
      </c>
      <c r="E283" s="75">
        <v>2</v>
      </c>
      <c r="F283" s="75"/>
      <c r="G283" s="74">
        <v>1</v>
      </c>
      <c r="H283" s="74">
        <v>1</v>
      </c>
      <c r="I283" s="75" t="s">
        <v>411</v>
      </c>
      <c r="J283" s="75" t="s">
        <v>89</v>
      </c>
      <c r="K283" s="75" t="b">
        <v>1</v>
      </c>
      <c r="L283" s="71">
        <v>2013</v>
      </c>
      <c r="M283" s="72">
        <v>23266745</v>
      </c>
      <c r="N283" s="76">
        <v>41275</v>
      </c>
      <c r="O283" s="76">
        <v>41275</v>
      </c>
    </row>
    <row r="284" spans="1:15" ht="14.25">
      <c r="A284" s="73">
        <v>2013</v>
      </c>
      <c r="B284" s="74" t="s">
        <v>387</v>
      </c>
      <c r="C284" s="74" t="s">
        <v>388</v>
      </c>
      <c r="D284" s="75">
        <v>3007042</v>
      </c>
      <c r="E284" s="75">
        <v>2</v>
      </c>
      <c r="F284" s="75"/>
      <c r="G284" s="74">
        <v>200</v>
      </c>
      <c r="H284" s="74">
        <v>7</v>
      </c>
      <c r="I284" s="75" t="s">
        <v>396</v>
      </c>
      <c r="J284" s="75" t="s">
        <v>11</v>
      </c>
      <c r="K284" s="75" t="b">
        <v>1</v>
      </c>
      <c r="L284" s="71">
        <v>2013</v>
      </c>
      <c r="M284" s="72">
        <v>900000</v>
      </c>
      <c r="N284" s="76">
        <v>41275</v>
      </c>
      <c r="O284" s="76">
        <v>41275</v>
      </c>
    </row>
    <row r="285" spans="1:15" ht="14.25">
      <c r="A285" s="73">
        <v>2013</v>
      </c>
      <c r="B285" s="74" t="s">
        <v>387</v>
      </c>
      <c r="C285" s="74" t="s">
        <v>388</v>
      </c>
      <c r="D285" s="75">
        <v>3007042</v>
      </c>
      <c r="E285" s="75">
        <v>2</v>
      </c>
      <c r="F285" s="75"/>
      <c r="G285" s="74">
        <v>410</v>
      </c>
      <c r="H285" s="74" t="s">
        <v>126</v>
      </c>
      <c r="I285" s="75" t="s">
        <v>395</v>
      </c>
      <c r="J285" s="75" t="s">
        <v>69</v>
      </c>
      <c r="K285" s="75" t="b">
        <v>0</v>
      </c>
      <c r="L285" s="71">
        <v>2014</v>
      </c>
      <c r="M285" s="72">
        <v>0.2189</v>
      </c>
      <c r="N285" s="76">
        <v>41275</v>
      </c>
      <c r="O285" s="76">
        <v>41275</v>
      </c>
    </row>
    <row r="286" spans="1:15" ht="14.25">
      <c r="A286" s="73">
        <v>2013</v>
      </c>
      <c r="B286" s="74" t="s">
        <v>387</v>
      </c>
      <c r="C286" s="74" t="s">
        <v>388</v>
      </c>
      <c r="D286" s="75">
        <v>3007042</v>
      </c>
      <c r="E286" s="75">
        <v>2</v>
      </c>
      <c r="F286" s="75"/>
      <c r="G286" s="74">
        <v>471</v>
      </c>
      <c r="H286" s="74" t="s">
        <v>260</v>
      </c>
      <c r="I286" s="75" t="s">
        <v>391</v>
      </c>
      <c r="J286" s="75" t="s">
        <v>287</v>
      </c>
      <c r="K286" s="75" t="b">
        <v>0</v>
      </c>
      <c r="L286" s="71">
        <v>2014</v>
      </c>
      <c r="M286" s="72">
        <v>346</v>
      </c>
      <c r="N286" s="76">
        <v>41275</v>
      </c>
      <c r="O286" s="76">
        <v>41275</v>
      </c>
    </row>
    <row r="287" spans="1:15" ht="14.25">
      <c r="A287" s="73">
        <v>2013</v>
      </c>
      <c r="B287" s="74" t="s">
        <v>387</v>
      </c>
      <c r="C287" s="74" t="s">
        <v>388</v>
      </c>
      <c r="D287" s="75">
        <v>3007042</v>
      </c>
      <c r="E287" s="75">
        <v>2</v>
      </c>
      <c r="F287" s="75"/>
      <c r="G287" s="74">
        <v>500</v>
      </c>
      <c r="H287" s="74">
        <v>23</v>
      </c>
      <c r="I287" s="75" t="s">
        <v>408</v>
      </c>
      <c r="J287" s="75" t="s">
        <v>57</v>
      </c>
      <c r="K287" s="75" t="b">
        <v>1</v>
      </c>
      <c r="L287" s="71">
        <v>2014</v>
      </c>
      <c r="M287" s="72">
        <v>23071000</v>
      </c>
      <c r="N287" s="76">
        <v>41275</v>
      </c>
      <c r="O287" s="76">
        <v>41275</v>
      </c>
    </row>
    <row r="288" spans="1:15" ht="14.25">
      <c r="A288" s="73">
        <v>2013</v>
      </c>
      <c r="B288" s="74" t="s">
        <v>387</v>
      </c>
      <c r="C288" s="74" t="s">
        <v>388</v>
      </c>
      <c r="D288" s="75">
        <v>3007042</v>
      </c>
      <c r="E288" s="75">
        <v>2</v>
      </c>
      <c r="F288" s="75"/>
      <c r="G288" s="74">
        <v>500</v>
      </c>
      <c r="H288" s="74">
        <v>23</v>
      </c>
      <c r="I288" s="75" t="s">
        <v>408</v>
      </c>
      <c r="J288" s="75" t="s">
        <v>57</v>
      </c>
      <c r="K288" s="75" t="b">
        <v>1</v>
      </c>
      <c r="L288" s="71">
        <v>2018</v>
      </c>
      <c r="M288" s="72">
        <v>24800000</v>
      </c>
      <c r="N288" s="76">
        <v>41275</v>
      </c>
      <c r="O288" s="76">
        <v>41275</v>
      </c>
    </row>
    <row r="289" spans="1:15" ht="14.25">
      <c r="A289" s="73">
        <v>2013</v>
      </c>
      <c r="B289" s="74" t="s">
        <v>387</v>
      </c>
      <c r="C289" s="74" t="s">
        <v>388</v>
      </c>
      <c r="D289" s="75">
        <v>3007042</v>
      </c>
      <c r="E289" s="75">
        <v>2</v>
      </c>
      <c r="F289" s="75"/>
      <c r="G289" s="74">
        <v>490</v>
      </c>
      <c r="H289" s="74" t="s">
        <v>131</v>
      </c>
      <c r="I289" s="75" t="s">
        <v>389</v>
      </c>
      <c r="J289" s="75" t="s">
        <v>289</v>
      </c>
      <c r="K289" s="75" t="b">
        <v>0</v>
      </c>
      <c r="L289" s="71">
        <v>2020</v>
      </c>
      <c r="M289" s="72">
        <v>291</v>
      </c>
      <c r="N289" s="76">
        <v>41275</v>
      </c>
      <c r="O289" s="76">
        <v>41275</v>
      </c>
    </row>
    <row r="290" spans="1:15" ht="14.25">
      <c r="A290" s="73">
        <v>2013</v>
      </c>
      <c r="B290" s="74" t="s">
        <v>387</v>
      </c>
      <c r="C290" s="74" t="s">
        <v>388</v>
      </c>
      <c r="D290" s="75">
        <v>3007042</v>
      </c>
      <c r="E290" s="75">
        <v>2</v>
      </c>
      <c r="F290" s="75"/>
      <c r="G290" s="74">
        <v>570</v>
      </c>
      <c r="H290" s="74">
        <v>30</v>
      </c>
      <c r="I290" s="75" t="s">
        <v>400</v>
      </c>
      <c r="J290" s="75" t="s">
        <v>292</v>
      </c>
      <c r="K290" s="75" t="b">
        <v>0</v>
      </c>
      <c r="L290" s="71">
        <v>2018</v>
      </c>
      <c r="M290" s="72">
        <v>1000000</v>
      </c>
      <c r="N290" s="76">
        <v>41275</v>
      </c>
      <c r="O290" s="76">
        <v>41275</v>
      </c>
    </row>
    <row r="291" spans="1:15" ht="14.25">
      <c r="A291" s="73">
        <v>2013</v>
      </c>
      <c r="B291" s="74" t="s">
        <v>387</v>
      </c>
      <c r="C291" s="74" t="s">
        <v>388</v>
      </c>
      <c r="D291" s="75">
        <v>3007042</v>
      </c>
      <c r="E291" s="75">
        <v>2</v>
      </c>
      <c r="F291" s="75"/>
      <c r="G291" s="74">
        <v>400</v>
      </c>
      <c r="H291" s="74">
        <v>18</v>
      </c>
      <c r="I291" s="75" t="s">
        <v>402</v>
      </c>
      <c r="J291" s="75" t="s">
        <v>67</v>
      </c>
      <c r="K291" s="75" t="b">
        <v>0</v>
      </c>
      <c r="L291" s="71">
        <v>2017</v>
      </c>
      <c r="M291" s="72">
        <v>0.1135</v>
      </c>
      <c r="N291" s="76">
        <v>41275</v>
      </c>
      <c r="O291" s="76">
        <v>41275</v>
      </c>
    </row>
    <row r="292" spans="1:15" ht="14.25">
      <c r="A292" s="73">
        <v>2013</v>
      </c>
      <c r="B292" s="74" t="s">
        <v>387</v>
      </c>
      <c r="C292" s="74" t="s">
        <v>388</v>
      </c>
      <c r="D292" s="75">
        <v>3007042</v>
      </c>
      <c r="E292" s="75">
        <v>2</v>
      </c>
      <c r="F292" s="75"/>
      <c r="G292" s="74">
        <v>550</v>
      </c>
      <c r="H292" s="74">
        <v>28</v>
      </c>
      <c r="I292" s="75" t="s">
        <v>398</v>
      </c>
      <c r="J292" s="75" t="s">
        <v>47</v>
      </c>
      <c r="K292" s="75" t="b">
        <v>0</v>
      </c>
      <c r="L292" s="71">
        <v>2020</v>
      </c>
      <c r="M292" s="72">
        <v>640000</v>
      </c>
      <c r="N292" s="76">
        <v>41275</v>
      </c>
      <c r="O292" s="76">
        <v>41275</v>
      </c>
    </row>
    <row r="293" spans="1:15" ht="14.25">
      <c r="A293" s="73">
        <v>2013</v>
      </c>
      <c r="B293" s="74" t="s">
        <v>387</v>
      </c>
      <c r="C293" s="74" t="s">
        <v>388</v>
      </c>
      <c r="D293" s="75">
        <v>3007042</v>
      </c>
      <c r="E293" s="75">
        <v>2</v>
      </c>
      <c r="F293" s="75"/>
      <c r="G293" s="74">
        <v>190</v>
      </c>
      <c r="H293" s="74">
        <v>6</v>
      </c>
      <c r="I293" s="75" t="s">
        <v>394</v>
      </c>
      <c r="J293" s="75" t="s">
        <v>109</v>
      </c>
      <c r="K293" s="75" t="b">
        <v>0</v>
      </c>
      <c r="L293" s="71">
        <v>2015</v>
      </c>
      <c r="M293" s="72">
        <v>1475000</v>
      </c>
      <c r="N293" s="76">
        <v>41275</v>
      </c>
      <c r="O293" s="76">
        <v>41275</v>
      </c>
    </row>
    <row r="294" spans="1:15" ht="14.25">
      <c r="A294" s="73">
        <v>2013</v>
      </c>
      <c r="B294" s="74" t="s">
        <v>387</v>
      </c>
      <c r="C294" s="74" t="s">
        <v>388</v>
      </c>
      <c r="D294" s="75">
        <v>3007042</v>
      </c>
      <c r="E294" s="75">
        <v>2</v>
      </c>
      <c r="F294" s="75"/>
      <c r="G294" s="74">
        <v>451</v>
      </c>
      <c r="H294" s="74" t="s">
        <v>259</v>
      </c>
      <c r="I294" s="75" t="s">
        <v>392</v>
      </c>
      <c r="J294" s="75" t="s">
        <v>284</v>
      </c>
      <c r="K294" s="75" t="b">
        <v>0</v>
      </c>
      <c r="L294" s="71">
        <v>2019</v>
      </c>
      <c r="M294" s="72">
        <v>0.0531</v>
      </c>
      <c r="N294" s="76">
        <v>41275</v>
      </c>
      <c r="O294" s="76">
        <v>41275</v>
      </c>
    </row>
    <row r="295" spans="1:15" ht="14.25">
      <c r="A295" s="73">
        <v>2013</v>
      </c>
      <c r="B295" s="74" t="s">
        <v>387</v>
      </c>
      <c r="C295" s="74" t="s">
        <v>388</v>
      </c>
      <c r="D295" s="75">
        <v>3007042</v>
      </c>
      <c r="E295" s="75">
        <v>2</v>
      </c>
      <c r="F295" s="75"/>
      <c r="G295" s="74">
        <v>400</v>
      </c>
      <c r="H295" s="74">
        <v>18</v>
      </c>
      <c r="I295" s="75" t="s">
        <v>402</v>
      </c>
      <c r="J295" s="75" t="s">
        <v>67</v>
      </c>
      <c r="K295" s="75" t="b">
        <v>0</v>
      </c>
      <c r="L295" s="71">
        <v>2013</v>
      </c>
      <c r="M295" s="72">
        <v>0.2102</v>
      </c>
      <c r="N295" s="76">
        <v>41275</v>
      </c>
      <c r="O295" s="76">
        <v>41275</v>
      </c>
    </row>
    <row r="296" spans="1:15" ht="14.25">
      <c r="A296" s="73">
        <v>2013</v>
      </c>
      <c r="B296" s="74" t="s">
        <v>387</v>
      </c>
      <c r="C296" s="74" t="s">
        <v>388</v>
      </c>
      <c r="D296" s="75">
        <v>3007042</v>
      </c>
      <c r="E296" s="75">
        <v>2</v>
      </c>
      <c r="F296" s="75"/>
      <c r="G296" s="74">
        <v>3</v>
      </c>
      <c r="H296" s="74" t="s">
        <v>242</v>
      </c>
      <c r="I296" s="75"/>
      <c r="J296" s="75" t="s">
        <v>241</v>
      </c>
      <c r="K296" s="75" t="b">
        <v>1</v>
      </c>
      <c r="L296" s="71">
        <v>2013</v>
      </c>
      <c r="M296" s="72">
        <v>164966</v>
      </c>
      <c r="N296" s="76">
        <v>41275</v>
      </c>
      <c r="O296" s="76">
        <v>41275</v>
      </c>
    </row>
    <row r="297" spans="1:15" ht="14.25">
      <c r="A297" s="73">
        <v>2013</v>
      </c>
      <c r="B297" s="74" t="s">
        <v>387</v>
      </c>
      <c r="C297" s="74" t="s">
        <v>388</v>
      </c>
      <c r="D297" s="75">
        <v>3007042</v>
      </c>
      <c r="E297" s="75">
        <v>2</v>
      </c>
      <c r="F297" s="75"/>
      <c r="G297" s="74">
        <v>260</v>
      </c>
      <c r="H297" s="74">
        <v>9</v>
      </c>
      <c r="I297" s="75" t="s">
        <v>405</v>
      </c>
      <c r="J297" s="75" t="s">
        <v>116</v>
      </c>
      <c r="K297" s="75" t="b">
        <v>0</v>
      </c>
      <c r="L297" s="71">
        <v>2015</v>
      </c>
      <c r="M297" s="72">
        <v>310000</v>
      </c>
      <c r="N297" s="76">
        <v>41275</v>
      </c>
      <c r="O297" s="76">
        <v>41275</v>
      </c>
    </row>
    <row r="298" spans="1:15" ht="14.25">
      <c r="A298" s="73">
        <v>2013</v>
      </c>
      <c r="B298" s="74" t="s">
        <v>387</v>
      </c>
      <c r="C298" s="74" t="s">
        <v>388</v>
      </c>
      <c r="D298" s="75">
        <v>3007042</v>
      </c>
      <c r="E298" s="75">
        <v>2</v>
      </c>
      <c r="F298" s="75"/>
      <c r="G298" s="74">
        <v>471</v>
      </c>
      <c r="H298" s="74" t="s">
        <v>260</v>
      </c>
      <c r="I298" s="75" t="s">
        <v>391</v>
      </c>
      <c r="J298" s="75" t="s">
        <v>287</v>
      </c>
      <c r="K298" s="75" t="b">
        <v>0</v>
      </c>
      <c r="L298" s="71">
        <v>2016</v>
      </c>
      <c r="M298" s="72">
        <v>20</v>
      </c>
      <c r="N298" s="76">
        <v>41275</v>
      </c>
      <c r="O298" s="76">
        <v>41275</v>
      </c>
    </row>
    <row r="299" spans="1:15" ht="14.25">
      <c r="A299" s="73">
        <v>2013</v>
      </c>
      <c r="B299" s="74" t="s">
        <v>387</v>
      </c>
      <c r="C299" s="74" t="s">
        <v>388</v>
      </c>
      <c r="D299" s="75">
        <v>3007042</v>
      </c>
      <c r="E299" s="75">
        <v>2</v>
      </c>
      <c r="F299" s="75"/>
      <c r="G299" s="74">
        <v>430</v>
      </c>
      <c r="H299" s="74" t="s">
        <v>127</v>
      </c>
      <c r="I299" s="75" t="s">
        <v>397</v>
      </c>
      <c r="J299" s="75" t="s">
        <v>72</v>
      </c>
      <c r="K299" s="75" t="b">
        <v>0</v>
      </c>
      <c r="L299" s="71">
        <v>2015</v>
      </c>
      <c r="M299" s="72">
        <v>0.0495</v>
      </c>
      <c r="N299" s="76">
        <v>41275</v>
      </c>
      <c r="O299" s="76">
        <v>41275</v>
      </c>
    </row>
    <row r="300" spans="1:15" ht="14.25">
      <c r="A300" s="73">
        <v>2013</v>
      </c>
      <c r="B300" s="74" t="s">
        <v>387</v>
      </c>
      <c r="C300" s="74" t="s">
        <v>388</v>
      </c>
      <c r="D300" s="75">
        <v>3007042</v>
      </c>
      <c r="E300" s="75">
        <v>2</v>
      </c>
      <c r="F300" s="75"/>
      <c r="G300" s="74">
        <v>460</v>
      </c>
      <c r="H300" s="74">
        <v>21</v>
      </c>
      <c r="I300" s="75" t="s">
        <v>406</v>
      </c>
      <c r="J300" s="75" t="s">
        <v>285</v>
      </c>
      <c r="K300" s="75" t="b">
        <v>1</v>
      </c>
      <c r="L300" s="71">
        <v>2014</v>
      </c>
      <c r="M300" s="72">
        <v>0.0464</v>
      </c>
      <c r="N300" s="76">
        <v>41275</v>
      </c>
      <c r="O300" s="76">
        <v>41275</v>
      </c>
    </row>
    <row r="301" spans="1:15" ht="14.25">
      <c r="A301" s="73">
        <v>2013</v>
      </c>
      <c r="B301" s="74" t="s">
        <v>387</v>
      </c>
      <c r="C301" s="74" t="s">
        <v>388</v>
      </c>
      <c r="D301" s="75">
        <v>3007042</v>
      </c>
      <c r="E301" s="75">
        <v>2</v>
      </c>
      <c r="F301" s="75"/>
      <c r="G301" s="74">
        <v>230</v>
      </c>
      <c r="H301" s="74" t="s">
        <v>113</v>
      </c>
      <c r="I301" s="75"/>
      <c r="J301" s="75" t="s">
        <v>272</v>
      </c>
      <c r="K301" s="75" t="b">
        <v>1</v>
      </c>
      <c r="L301" s="71">
        <v>2016</v>
      </c>
      <c r="M301" s="72">
        <v>330000</v>
      </c>
      <c r="N301" s="76">
        <v>41275</v>
      </c>
      <c r="O301" s="76">
        <v>41275</v>
      </c>
    </row>
    <row r="302" spans="1:15" ht="14.25">
      <c r="A302" s="73">
        <v>2013</v>
      </c>
      <c r="B302" s="74" t="s">
        <v>387</v>
      </c>
      <c r="C302" s="74" t="s">
        <v>388</v>
      </c>
      <c r="D302" s="75">
        <v>3007042</v>
      </c>
      <c r="E302" s="75">
        <v>2</v>
      </c>
      <c r="F302" s="75"/>
      <c r="G302" s="74">
        <v>2</v>
      </c>
      <c r="H302" s="74" t="s">
        <v>90</v>
      </c>
      <c r="I302" s="75"/>
      <c r="J302" s="75" t="s">
        <v>263</v>
      </c>
      <c r="K302" s="75" t="b">
        <v>1</v>
      </c>
      <c r="L302" s="71">
        <v>2013</v>
      </c>
      <c r="M302" s="72">
        <v>22273007</v>
      </c>
      <c r="N302" s="76">
        <v>41275</v>
      </c>
      <c r="O302" s="76">
        <v>41275</v>
      </c>
    </row>
    <row r="303" spans="1:15" ht="14.25">
      <c r="A303" s="73">
        <v>2013</v>
      </c>
      <c r="B303" s="74" t="s">
        <v>387</v>
      </c>
      <c r="C303" s="74" t="s">
        <v>388</v>
      </c>
      <c r="D303" s="75">
        <v>3007042</v>
      </c>
      <c r="E303" s="75">
        <v>2</v>
      </c>
      <c r="F303" s="75"/>
      <c r="G303" s="74">
        <v>310</v>
      </c>
      <c r="H303" s="74" t="s">
        <v>120</v>
      </c>
      <c r="I303" s="75"/>
      <c r="J303" s="75" t="s">
        <v>106</v>
      </c>
      <c r="K303" s="75" t="b">
        <v>1</v>
      </c>
      <c r="L303" s="71">
        <v>2013</v>
      </c>
      <c r="M303" s="72">
        <v>1500000</v>
      </c>
      <c r="N303" s="76">
        <v>41275</v>
      </c>
      <c r="O303" s="76">
        <v>41275</v>
      </c>
    </row>
    <row r="304" spans="1:15" ht="14.25">
      <c r="A304" s="73">
        <v>2013</v>
      </c>
      <c r="B304" s="74" t="s">
        <v>387</v>
      </c>
      <c r="C304" s="74" t="s">
        <v>388</v>
      </c>
      <c r="D304" s="75">
        <v>3007042</v>
      </c>
      <c r="E304" s="75">
        <v>2</v>
      </c>
      <c r="F304" s="75"/>
      <c r="G304" s="74">
        <v>480</v>
      </c>
      <c r="H304" s="74">
        <v>22</v>
      </c>
      <c r="I304" s="75" t="s">
        <v>393</v>
      </c>
      <c r="J304" s="75" t="s">
        <v>288</v>
      </c>
      <c r="K304" s="75" t="b">
        <v>0</v>
      </c>
      <c r="L304" s="71">
        <v>2017</v>
      </c>
      <c r="M304" s="72">
        <v>0.0457</v>
      </c>
      <c r="N304" s="76">
        <v>41275</v>
      </c>
      <c r="O304" s="76">
        <v>41275</v>
      </c>
    </row>
    <row r="305" spans="1:15" ht="14.25">
      <c r="A305" s="73">
        <v>2013</v>
      </c>
      <c r="B305" s="74" t="s">
        <v>387</v>
      </c>
      <c r="C305" s="74" t="s">
        <v>388</v>
      </c>
      <c r="D305" s="75">
        <v>3007042</v>
      </c>
      <c r="E305" s="75">
        <v>2</v>
      </c>
      <c r="F305" s="75"/>
      <c r="G305" s="74">
        <v>9</v>
      </c>
      <c r="H305" s="74">
        <v>2</v>
      </c>
      <c r="I305" s="75"/>
      <c r="J305" s="75" t="s">
        <v>3</v>
      </c>
      <c r="K305" s="75" t="b">
        <v>1</v>
      </c>
      <c r="L305" s="71">
        <v>2020</v>
      </c>
      <c r="M305" s="72">
        <v>23640000</v>
      </c>
      <c r="N305" s="76">
        <v>41275</v>
      </c>
      <c r="O305" s="76">
        <v>41275</v>
      </c>
    </row>
    <row r="306" spans="1:15" ht="14.25">
      <c r="A306" s="73">
        <v>2013</v>
      </c>
      <c r="B306" s="74" t="s">
        <v>387</v>
      </c>
      <c r="C306" s="74" t="s">
        <v>388</v>
      </c>
      <c r="D306" s="75">
        <v>3007042</v>
      </c>
      <c r="E306" s="75">
        <v>2</v>
      </c>
      <c r="F306" s="75"/>
      <c r="G306" s="74">
        <v>530</v>
      </c>
      <c r="H306" s="74">
        <v>26</v>
      </c>
      <c r="I306" s="75" t="s">
        <v>404</v>
      </c>
      <c r="J306" s="75" t="s">
        <v>56</v>
      </c>
      <c r="K306" s="75" t="b">
        <v>1</v>
      </c>
      <c r="L306" s="71">
        <v>2018</v>
      </c>
      <c r="M306" s="72">
        <v>24800000</v>
      </c>
      <c r="N306" s="76">
        <v>41275</v>
      </c>
      <c r="O306" s="76">
        <v>41275</v>
      </c>
    </row>
    <row r="307" spans="1:15" ht="14.25">
      <c r="A307" s="73">
        <v>2013</v>
      </c>
      <c r="B307" s="74" t="s">
        <v>387</v>
      </c>
      <c r="C307" s="74" t="s">
        <v>388</v>
      </c>
      <c r="D307" s="75">
        <v>3007042</v>
      </c>
      <c r="E307" s="75">
        <v>2</v>
      </c>
      <c r="F307" s="75"/>
      <c r="G307" s="74">
        <v>490</v>
      </c>
      <c r="H307" s="74" t="s">
        <v>131</v>
      </c>
      <c r="I307" s="75" t="s">
        <v>389</v>
      </c>
      <c r="J307" s="75" t="s">
        <v>289</v>
      </c>
      <c r="K307" s="75" t="b">
        <v>0</v>
      </c>
      <c r="L307" s="71">
        <v>2015</v>
      </c>
      <c r="M307" s="72">
        <v>20</v>
      </c>
      <c r="N307" s="76">
        <v>41275</v>
      </c>
      <c r="O307" s="76">
        <v>41275</v>
      </c>
    </row>
    <row r="308" spans="1:15" ht="14.25">
      <c r="A308" s="73">
        <v>2013</v>
      </c>
      <c r="B308" s="74" t="s">
        <v>387</v>
      </c>
      <c r="C308" s="74" t="s">
        <v>388</v>
      </c>
      <c r="D308" s="75">
        <v>3007042</v>
      </c>
      <c r="E308" s="75">
        <v>2</v>
      </c>
      <c r="F308" s="75"/>
      <c r="G308" s="74">
        <v>471</v>
      </c>
      <c r="H308" s="74" t="s">
        <v>260</v>
      </c>
      <c r="I308" s="75" t="s">
        <v>391</v>
      </c>
      <c r="J308" s="75" t="s">
        <v>287</v>
      </c>
      <c r="K308" s="75" t="b">
        <v>0</v>
      </c>
      <c r="L308" s="71">
        <v>2021</v>
      </c>
      <c r="M308" s="72">
        <v>393</v>
      </c>
      <c r="N308" s="76">
        <v>41275</v>
      </c>
      <c r="O308" s="76">
        <v>41275</v>
      </c>
    </row>
    <row r="309" spans="1:15" ht="14.25">
      <c r="A309" s="73">
        <v>2013</v>
      </c>
      <c r="B309" s="74" t="s">
        <v>387</v>
      </c>
      <c r="C309" s="74" t="s">
        <v>388</v>
      </c>
      <c r="D309" s="75">
        <v>3007042</v>
      </c>
      <c r="E309" s="75">
        <v>2</v>
      </c>
      <c r="F309" s="75"/>
      <c r="G309" s="74">
        <v>160</v>
      </c>
      <c r="H309" s="74">
        <v>3</v>
      </c>
      <c r="I309" s="75" t="s">
        <v>410</v>
      </c>
      <c r="J309" s="75" t="s">
        <v>105</v>
      </c>
      <c r="K309" s="75" t="b">
        <v>1</v>
      </c>
      <c r="L309" s="71">
        <v>2014</v>
      </c>
      <c r="M309" s="72">
        <v>2220000</v>
      </c>
      <c r="N309" s="76">
        <v>41275</v>
      </c>
      <c r="O309" s="76">
        <v>41275</v>
      </c>
    </row>
    <row r="310" spans="1:15" ht="14.25">
      <c r="A310" s="73">
        <v>2013</v>
      </c>
      <c r="B310" s="74" t="s">
        <v>387</v>
      </c>
      <c r="C310" s="74" t="s">
        <v>388</v>
      </c>
      <c r="D310" s="75">
        <v>3007042</v>
      </c>
      <c r="E310" s="75">
        <v>2</v>
      </c>
      <c r="F310" s="75"/>
      <c r="G310" s="74">
        <v>410</v>
      </c>
      <c r="H310" s="74" t="s">
        <v>126</v>
      </c>
      <c r="I310" s="75" t="s">
        <v>395</v>
      </c>
      <c r="J310" s="75" t="s">
        <v>69</v>
      </c>
      <c r="K310" s="75" t="b">
        <v>0</v>
      </c>
      <c r="L310" s="71">
        <v>2019</v>
      </c>
      <c r="M310" s="72">
        <v>0.045</v>
      </c>
      <c r="N310" s="76">
        <v>41275</v>
      </c>
      <c r="O310" s="76">
        <v>41275</v>
      </c>
    </row>
    <row r="311" spans="1:15" ht="14.25">
      <c r="A311" s="73">
        <v>2013</v>
      </c>
      <c r="B311" s="74" t="s">
        <v>387</v>
      </c>
      <c r="C311" s="74" t="s">
        <v>388</v>
      </c>
      <c r="D311" s="75">
        <v>3007042</v>
      </c>
      <c r="E311" s="75">
        <v>2</v>
      </c>
      <c r="F311" s="75"/>
      <c r="G311" s="74">
        <v>370</v>
      </c>
      <c r="H311" s="74">
        <v>16</v>
      </c>
      <c r="I311" s="75"/>
      <c r="J311" s="75" t="s">
        <v>124</v>
      </c>
      <c r="K311" s="75" t="b">
        <v>1</v>
      </c>
      <c r="L311" s="71">
        <v>2020</v>
      </c>
      <c r="M311" s="72">
        <v>640000</v>
      </c>
      <c r="N311" s="76">
        <v>41275</v>
      </c>
      <c r="O311" s="76">
        <v>41275</v>
      </c>
    </row>
    <row r="312" spans="1:15" ht="14.25">
      <c r="A312" s="73">
        <v>2013</v>
      </c>
      <c r="B312" s="74" t="s">
        <v>387</v>
      </c>
      <c r="C312" s="74" t="s">
        <v>388</v>
      </c>
      <c r="D312" s="75">
        <v>3007042</v>
      </c>
      <c r="E312" s="75">
        <v>2</v>
      </c>
      <c r="F312" s="75"/>
      <c r="G312" s="74">
        <v>190</v>
      </c>
      <c r="H312" s="74">
        <v>6</v>
      </c>
      <c r="I312" s="75" t="s">
        <v>394</v>
      </c>
      <c r="J312" s="75" t="s">
        <v>109</v>
      </c>
      <c r="K312" s="75" t="b">
        <v>0</v>
      </c>
      <c r="L312" s="71">
        <v>2014</v>
      </c>
      <c r="M312" s="72">
        <v>2220000</v>
      </c>
      <c r="N312" s="76">
        <v>41275</v>
      </c>
      <c r="O312" s="76">
        <v>41275</v>
      </c>
    </row>
    <row r="313" spans="1:15" ht="14.25">
      <c r="A313" s="73">
        <v>2013</v>
      </c>
      <c r="B313" s="74" t="s">
        <v>387</v>
      </c>
      <c r="C313" s="74" t="s">
        <v>388</v>
      </c>
      <c r="D313" s="75">
        <v>3007042</v>
      </c>
      <c r="E313" s="75">
        <v>2</v>
      </c>
      <c r="F313" s="75"/>
      <c r="G313" s="74">
        <v>330</v>
      </c>
      <c r="H313" s="74">
        <v>13</v>
      </c>
      <c r="I313" s="75"/>
      <c r="J313" s="75" t="s">
        <v>274</v>
      </c>
      <c r="K313" s="75" t="b">
        <v>1</v>
      </c>
      <c r="L313" s="71">
        <v>2020</v>
      </c>
      <c r="M313" s="72">
        <v>490000</v>
      </c>
      <c r="N313" s="76">
        <v>41275</v>
      </c>
      <c r="O313" s="76">
        <v>41275</v>
      </c>
    </row>
    <row r="314" spans="1:15" ht="14.25">
      <c r="A314" s="73">
        <v>2013</v>
      </c>
      <c r="B314" s="74" t="s">
        <v>387</v>
      </c>
      <c r="C314" s="74" t="s">
        <v>388</v>
      </c>
      <c r="D314" s="75">
        <v>3007042</v>
      </c>
      <c r="E314" s="75">
        <v>2</v>
      </c>
      <c r="F314" s="75"/>
      <c r="G314" s="74">
        <v>160</v>
      </c>
      <c r="H314" s="74">
        <v>3</v>
      </c>
      <c r="I314" s="75" t="s">
        <v>410</v>
      </c>
      <c r="J314" s="75" t="s">
        <v>105</v>
      </c>
      <c r="K314" s="75" t="b">
        <v>1</v>
      </c>
      <c r="L314" s="71">
        <v>2021</v>
      </c>
      <c r="M314" s="72">
        <v>1360000</v>
      </c>
      <c r="N314" s="76">
        <v>41275</v>
      </c>
      <c r="O314" s="76">
        <v>41275</v>
      </c>
    </row>
    <row r="315" spans="1:15" ht="14.25">
      <c r="A315" s="73">
        <v>2013</v>
      </c>
      <c r="B315" s="74" t="s">
        <v>387</v>
      </c>
      <c r="C315" s="74" t="s">
        <v>388</v>
      </c>
      <c r="D315" s="75">
        <v>3007042</v>
      </c>
      <c r="E315" s="75">
        <v>2</v>
      </c>
      <c r="F315" s="75"/>
      <c r="G315" s="74">
        <v>9</v>
      </c>
      <c r="H315" s="74">
        <v>2</v>
      </c>
      <c r="I315" s="75"/>
      <c r="J315" s="75" t="s">
        <v>3</v>
      </c>
      <c r="K315" s="75" t="b">
        <v>1</v>
      </c>
      <c r="L315" s="71">
        <v>2014</v>
      </c>
      <c r="M315" s="72">
        <v>21485610</v>
      </c>
      <c r="N315" s="76">
        <v>41275</v>
      </c>
      <c r="O315" s="76">
        <v>41275</v>
      </c>
    </row>
    <row r="316" spans="1:15" ht="14.25">
      <c r="A316" s="73">
        <v>2013</v>
      </c>
      <c r="B316" s="74" t="s">
        <v>387</v>
      </c>
      <c r="C316" s="74" t="s">
        <v>388</v>
      </c>
      <c r="D316" s="75">
        <v>3007042</v>
      </c>
      <c r="E316" s="75">
        <v>2</v>
      </c>
      <c r="F316" s="75"/>
      <c r="G316" s="74">
        <v>400</v>
      </c>
      <c r="H316" s="74">
        <v>18</v>
      </c>
      <c r="I316" s="75" t="s">
        <v>402</v>
      </c>
      <c r="J316" s="75" t="s">
        <v>67</v>
      </c>
      <c r="K316" s="75" t="b">
        <v>0</v>
      </c>
      <c r="L316" s="71">
        <v>2018</v>
      </c>
      <c r="M316" s="72">
        <v>0.0718</v>
      </c>
      <c r="N316" s="76">
        <v>41275</v>
      </c>
      <c r="O316" s="76">
        <v>41275</v>
      </c>
    </row>
    <row r="317" spans="1:15" ht="14.25">
      <c r="A317" s="73">
        <v>2013</v>
      </c>
      <c r="B317" s="74" t="s">
        <v>387</v>
      </c>
      <c r="C317" s="74" t="s">
        <v>388</v>
      </c>
      <c r="D317" s="75">
        <v>3007042</v>
      </c>
      <c r="E317" s="75">
        <v>2</v>
      </c>
      <c r="F317" s="75"/>
      <c r="G317" s="74">
        <v>510</v>
      </c>
      <c r="H317" s="74">
        <v>24</v>
      </c>
      <c r="I317" s="75" t="s">
        <v>409</v>
      </c>
      <c r="J317" s="75" t="s">
        <v>291</v>
      </c>
      <c r="K317" s="75" t="b">
        <v>1</v>
      </c>
      <c r="L317" s="71">
        <v>2013</v>
      </c>
      <c r="M317" s="72">
        <v>21485526</v>
      </c>
      <c r="N317" s="76">
        <v>41275</v>
      </c>
      <c r="O317" s="76">
        <v>41275</v>
      </c>
    </row>
    <row r="318" spans="1:15" ht="14.25">
      <c r="A318" s="73">
        <v>2013</v>
      </c>
      <c r="B318" s="74" t="s">
        <v>387</v>
      </c>
      <c r="C318" s="74" t="s">
        <v>388</v>
      </c>
      <c r="D318" s="75">
        <v>3007042</v>
      </c>
      <c r="E318" s="75">
        <v>2</v>
      </c>
      <c r="F318" s="75"/>
      <c r="G318" s="74">
        <v>400</v>
      </c>
      <c r="H318" s="74">
        <v>18</v>
      </c>
      <c r="I318" s="75" t="s">
        <v>402</v>
      </c>
      <c r="J318" s="75" t="s">
        <v>67</v>
      </c>
      <c r="K318" s="75" t="b">
        <v>0</v>
      </c>
      <c r="L318" s="71">
        <v>2015</v>
      </c>
      <c r="M318" s="72">
        <v>0.1869</v>
      </c>
      <c r="N318" s="76">
        <v>41275</v>
      </c>
      <c r="O318" s="76">
        <v>41275</v>
      </c>
    </row>
    <row r="319" spans="1:15" ht="14.25">
      <c r="A319" s="73">
        <v>2013</v>
      </c>
      <c r="B319" s="74" t="s">
        <v>387</v>
      </c>
      <c r="C319" s="74" t="s">
        <v>388</v>
      </c>
      <c r="D319" s="75">
        <v>3007042</v>
      </c>
      <c r="E319" s="75">
        <v>2</v>
      </c>
      <c r="F319" s="75"/>
      <c r="G319" s="74">
        <v>6</v>
      </c>
      <c r="H319" s="74" t="s">
        <v>93</v>
      </c>
      <c r="I319" s="75"/>
      <c r="J319" s="75" t="s">
        <v>266</v>
      </c>
      <c r="K319" s="75" t="b">
        <v>1</v>
      </c>
      <c r="L319" s="71">
        <v>2013</v>
      </c>
      <c r="M319" s="72">
        <v>300000</v>
      </c>
      <c r="N319" s="76">
        <v>41275</v>
      </c>
      <c r="O319" s="76">
        <v>41275</v>
      </c>
    </row>
    <row r="320" spans="1:15" ht="14.25">
      <c r="A320" s="73">
        <v>2013</v>
      </c>
      <c r="B320" s="74" t="s">
        <v>387</v>
      </c>
      <c r="C320" s="74" t="s">
        <v>388</v>
      </c>
      <c r="D320" s="75">
        <v>3007042</v>
      </c>
      <c r="E320" s="75">
        <v>2</v>
      </c>
      <c r="F320" s="75"/>
      <c r="G320" s="74">
        <v>2</v>
      </c>
      <c r="H320" s="74" t="s">
        <v>90</v>
      </c>
      <c r="I320" s="75"/>
      <c r="J320" s="75" t="s">
        <v>263</v>
      </c>
      <c r="K320" s="75" t="b">
        <v>1</v>
      </c>
      <c r="L320" s="71">
        <v>2021</v>
      </c>
      <c r="M320" s="72">
        <v>25360000</v>
      </c>
      <c r="N320" s="76">
        <v>41275</v>
      </c>
      <c r="O320" s="76">
        <v>41275</v>
      </c>
    </row>
    <row r="321" spans="1:15" ht="14.25">
      <c r="A321" s="73">
        <v>2013</v>
      </c>
      <c r="B321" s="74" t="s">
        <v>387</v>
      </c>
      <c r="C321" s="74" t="s">
        <v>388</v>
      </c>
      <c r="D321" s="75">
        <v>3007042</v>
      </c>
      <c r="E321" s="75">
        <v>2</v>
      </c>
      <c r="F321" s="75"/>
      <c r="G321" s="74">
        <v>270</v>
      </c>
      <c r="H321" s="74">
        <v>10</v>
      </c>
      <c r="I321" s="75"/>
      <c r="J321" s="75" t="s">
        <v>17</v>
      </c>
      <c r="K321" s="75" t="b">
        <v>0</v>
      </c>
      <c r="L321" s="71">
        <v>2021</v>
      </c>
      <c r="M321" s="72">
        <v>820000</v>
      </c>
      <c r="N321" s="76">
        <v>41275</v>
      </c>
      <c r="O321" s="76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2013-01-21T10:38:16Z</cp:lastPrinted>
  <dcterms:created xsi:type="dcterms:W3CDTF">2010-09-17T02:30:46Z</dcterms:created>
  <dcterms:modified xsi:type="dcterms:W3CDTF">2013-01-21T10:38:37Z</dcterms:modified>
  <cp:category/>
  <cp:version/>
  <cp:contentType/>
  <cp:contentStatus/>
</cp:coreProperties>
</file>