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'Zał.1_WPF_bazowy'!$B$8:$N$114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'Zał.1_WPF_bazowy'!$B$8:$N$110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<sst xmlns="http://schemas.openxmlformats.org/spreadsheetml/2006/main" count="5675" uniqueCount="488">
  <si>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</si>
  <si>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</si>
  <si>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</si>
  <si>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</si>
  <si>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</si>
  <si>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</si>
  <si>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</si>
  <si>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</si>
  <si>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</si>
  <si>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</si>
  <si>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</si>
  <si>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</si>
  <si>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</si>
  <si>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</si>
  <si>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</si>
  <si>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</si>
  <si>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</si>
  <si>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</si>
  <si>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</si>
  <si>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</si>
  <si>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</si>
  <si>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</si>
  <si>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</si>
  <si>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</si>
  <si>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</si>
  <si>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</si>
  <si>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</si>
  <si>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</si>
  <si>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</si>
  <si>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</si>
  <si>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</si>
  <si>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</si>
  <si>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</si>
  <si>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</si>
  <si>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</si>
  <si>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</si>
  <si>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</si>
  <si>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</si>
  <si>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</si>
  <si>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</si>
  <si>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</si>
  <si>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</si>
  <si>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</si>
  <si>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</si>
  <si>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</si>
  <si>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</si>
  <si>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</si>
  <si>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</si>
  <si>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</si>
  <si>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</si>
  <si>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</si>
  <si>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</si>
  <si>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</si>
  <si>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</si>
  <si>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</si>
  <si>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</si>
  <si>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</si>
  <si>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</si>
  <si>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</si>
  <si>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</si>
  <si>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</si>
  <si>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</si>
  <si>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</si>
  <si>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</si>
  <si>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</si>
  <si>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</si>
  <si>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</si>
  <si>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</si>
  <si>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</si>
  <si>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</si>
  <si>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</si>
  <si>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</si>
  <si>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</si>
  <si>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</si>
  <si>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</si>
  <si>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</si>
  <si>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</si>
  <si>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</si>
  <si>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</si>
  <si>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</si>
  <si>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</si>
  <si>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</si>
  <si>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</si>
  <si>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</si>
  <si>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</si>
  <si>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</si>
  <si>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</si>
  <si>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</si>
  <si>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</si>
  <si>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</si>
  <si>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</si>
  <si>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</si>
  <si>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</si>
  <si>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</si>
  <si>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</si>
  <si>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</si>
  <si>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</si>
  <si>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</si>
  <si>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</si>
  <si>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</si>
  <si>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</si>
  <si>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</si>
  <si>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</si>
  <si>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</si>
  <si>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</si>
  <si>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</si>
  <si>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</si>
  <si>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</si>
  <si>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</si>
  <si>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</si>
  <si>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</si>
  <si>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</si>
  <si>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</si>
  <si>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</si>
  <si>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</si>
  <si>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</si>
  <si>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</si>
  <si>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</si>
  <si>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</si>
  <si>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</si>
  <si>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</si>
  <si>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</si>
  <si>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</si>
  <si>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</si>
  <si>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</si>
  <si>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</si>
  <si>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</si>
  <si>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</si>
  <si>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</si>
  <si>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</si>
  <si>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</si>
  <si>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</si>
  <si>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</si>
  <si>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</si>
  <si>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</si>
  <si>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</si>
  <si>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</si>
  <si>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</si>
  <si>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</si>
  <si>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</si>
  <si>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</si>
  <si>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</si>
  <si>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</si>
  <si>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</si>
  <si>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</si>
  <si>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</si>
  <si>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</si>
  <si>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</si>
  <si>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</si>
  <si>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</si>
  <si>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</si>
  <si>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</si>
  <si>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</si>
  <si>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</si>
  <si>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</si>
  <si>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</si>
  <si>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</si>
  <si>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</si>
  <si>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</si>
  <si>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</si>
  <si>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</si>
  <si>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</si>
  <si>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</si>
  <si>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</si>
  <si>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</si>
  <si>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</si>
  <si>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</si>
  <si>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</si>
  <si>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</si>
  <si>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</si>
  <si>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</si>
  <si>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</si>
  <si>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</si>
  <si>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</si>
  <si>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</si>
  <si>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</si>
  <si>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</si>
  <si>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</si>
  <si>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</si>
  <si>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</si>
  <si>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</si>
  <si>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</si>
  <si>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</si>
  <si>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</si>
  <si>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</si>
  <si>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</si>
  <si>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</si>
  <si>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</si>
  <si>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</si>
  <si>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</si>
  <si>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</si>
  <si>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</si>
  <si>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</si>
  <si>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</si>
  <si>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</si>
  <si>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</si>
  <si>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</si>
  <si>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</si>
  <si>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</si>
  <si>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</si>
  <si>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</si>
  <si>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</si>
  <si>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</si>
  <si>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</si>
  <si>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</si>
  <si>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</si>
  <si>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</si>
  <si>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</si>
  <si>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</si>
  <si>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</si>
  <si>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</si>
  <si>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</si>
  <si>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</si>
  <si>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</si>
  <si>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</si>
  <si>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</si>
  <si>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</si>
  <si>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</si>
  <si>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</si>
  <si>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</si>
  <si>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</si>
  <si>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</si>
  <si>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</si>
  <si>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</si>
  <si>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</si>
  <si>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</si>
  <si>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</si>
  <si>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</si>
  <si>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</si>
  <si>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</si>
  <si>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</si>
  <si>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</si>
  <si>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</si>
  <si>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</si>
  <si>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</si>
  <si>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</si>
  <si>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</si>
  <si>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</si>
  <si>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</si>
  <si>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</si>
  <si>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</si>
  <si>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</si>
  <si>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</si>
  <si>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</si>
  <si>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</si>
  <si>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</si>
  <si>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</si>
  <si>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</si>
  <si>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</si>
  <si>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</si>
  <si>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</si>
  <si>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</si>
  <si>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</si>
  <si>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</si>
  <si>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</si>
  <si>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</si>
  <si>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</si>
  <si>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</si>
  <si>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</si>
  <si>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</si>
  <si>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</si>
  <si>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</si>
  <si>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</si>
  <si>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</si>
  <si>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</si>
  <si>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</si>
  <si>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</si>
  <si>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</si>
  <si>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</si>
  <si>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</si>
  <si>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</si>
  <si>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</si>
  <si>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</si>
  <si>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</si>
  <si>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</si>
  <si>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</si>
  <si>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</si>
  <si>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</si>
  <si>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</si>
  <si>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</si>
  <si>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</si>
  <si>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</si>
  <si>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</si>
  <si>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</si>
  <si>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</si>
  <si>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</si>
  <si>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</si>
  <si>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</si>
  <si>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</si>
  <si>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</si>
  <si>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</si>
  <si>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</si>
  <si>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</si>
  <si>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</si>
  <si>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</si>
  <si>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</si>
  <si>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</si>
  <si>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</si>
  <si>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</si>
  <si>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</si>
  <si>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</si>
  <si>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</si>
  <si>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</si>
  <si>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</si>
  <si>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</si>
  <si>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</si>
  <si>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</si>
  <si>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</si>
  <si>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</si>
  <si>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</si>
  <si>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</si>
  <si>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</si>
  <si>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</si>
  <si>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</si>
  <si>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</si>
  <si>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</si>
  <si>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</si>
  <si>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</si>
  <si>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</si>
  <si>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</si>
  <si>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</si>
  <si>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</si>
  <si>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</si>
  <si>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</si>
  <si>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</si>
  <si>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</si>
  <si>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</si>
  <si>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</si>
  <si>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</si>
  <si>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</si>
  <si>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</si>
  <si>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</si>
  <si>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</si>
  <si>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</si>
  <si>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</si>
  <si>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</si>
  <si>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</si>
  <si>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</si>
  <si>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</si>
  <si>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</si>
  <si>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</si>
  <si>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</si>
  <si>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</si>
  <si>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</si>
  <si>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</si>
  <si>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</si>
  <si>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</si>
  <si>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</si>
  <si>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</si>
  <si>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</si>
  <si>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</si>
  <si>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</si>
  <si>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</si>
  <si>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</si>
  <si>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</si>
  <si>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</si>
  <si>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</si>
  <si>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</si>
  <si>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</si>
  <si>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</si>
  <si>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</si>
  <si>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</si>
  <si>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</si>
  <si>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</si>
  <si>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</si>
  <si>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</si>
  <si>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</si>
  <si>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</si>
  <si>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</si>
  <si>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</si>
  <si>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</si>
  <si>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</si>
  <si>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</si>
  <si>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</si>
  <si>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</si>
  <si>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</si>
  <si>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</si>
  <si>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</si>
  <si>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</si>
  <si>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</si>
  <si>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</si>
  <si>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</si>
  <si>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</si>
  <si>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</si>
  <si>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</si>
  <si>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</si>
  <si>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</si>
  <si>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</si>
  <si>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</si>
  <si>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</si>
  <si>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</si>
  <si>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</si>
  <si>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</si>
  <si>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</si>
  <si>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</si>
  <si>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</si>
  <si>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</si>
  <si>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</si>
  <si>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</si>
  <si>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</si>
  <si>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</si>
  <si>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</si>
  <si>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</si>
  <si>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</si>
  <si>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</si>
  <si>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</si>
  <si>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</si>
  <si>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</si>
  <si>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</si>
  <si>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</si>
  <si>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</si>
  <si>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</si>
  <si>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</si>
  <si>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</si>
  <si>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</si>
  <si>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</si>
  <si>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</si>
  <si>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</si>
  <si>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</si>
  <si>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</si>
  <si>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</si>
  <si>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</si>
  <si>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</si>
  <si>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</si>
  <si>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</si>
  <si>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</si>
  <si>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</si>
  <si>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</si>
  <si>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</si>
  <si>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</si>
  <si>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</si>
  <si>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</si>
  <si>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</si>
  <si>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</si>
  <si>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</si>
  <si>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</si>
  <si>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</si>
  <si>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</si>
  <si>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</si>
  <si>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</si>
  <si>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</si>
  <si>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</si>
  <si>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</si>
  <si>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</si>
  <si>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</si>
  <si>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</si>
  <si>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</si>
  <si>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</si>
  <si>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</si>
  <si>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</si>
  <si>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</si>
  <si>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</si>
  <si>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</si>
  <si>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</si>
  <si>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</si>
  <si>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</si>
  <si>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</si>
  <si>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</si>
  <si>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</si>
  <si>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</si>
  <si>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</si>
  <si>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</si>
  <si>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</si>
  <si>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</si>
  <si>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</si>
  <si>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</si>
  <si>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</si>
  <si>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</si>
  <si>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</si>
  <si>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</si>
  <si>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</si>
  <si>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</si>
  <si>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</si>
  <si>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</si>
  <si>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</si>
  <si>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</si>
  <si>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</t>
  </si>
  <si>
    <t>GODZIESZE WIELKIE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</si>
  <si>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</si>
  <si>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</si>
  <si>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</si>
  <si>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</si>
  <si>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</si>
  <si>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</si>
  <si>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</si>
  <si>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</si>
  <si>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 xml:space="preserve"> </t>
  </si>
  <si>
    <t>Załącznik Nr 1 do Uchwały Nr XXXVI/220/2017  Rady Gminy Godziesze Wielkie z dnia 27 lipca 2017 r. -  Wieloletnia Prognoza Finansowa na lata 2017-2026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</si>
</sst>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14" fillId="7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100" fillId="54" borderId="0" applyNumberFormat="0" applyBorder="0" applyAlignment="0" applyProtection="0"/>
    <xf numFmtId="0" fontId="101" fillId="5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8" fillId="0" borderId="43" xfId="0" applyFont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'Zał.1_WPF_bazowy'!$E$18:$N$18</c:f>
              <c:numCache>
                <c:ptCount val="10"/>
                <c:pt idx="0">
                  <c:v>242250</c:v>
                </c:pt>
                <c:pt idx="1">
                  <c:v>2731444</c:v>
                </c:pt>
                <c:pt idx="2">
                  <c:v>2416023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'Zał.1_WPF_bazowy'!$E$19:$N$19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368449"/>
        <c:axId val="53207178"/>
      </c:line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844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'Zał.1_WPF_bazowy'!$E$59:$N$59</c:f>
              <c:numCache>
                <c:ptCount val="10"/>
                <c:pt idx="0">
                  <c:v>0.1178</c:v>
                </c:pt>
                <c:pt idx="1">
                  <c:v>0.093</c:v>
                </c:pt>
                <c:pt idx="2">
                  <c:v>0.0561</c:v>
                </c:pt>
                <c:pt idx="3">
                  <c:v>0.0496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'Zał.1_WPF_bazowy'!$E$57:$N$57</c:f>
              <c:numCache>
                <c:ptCount val="10"/>
                <c:pt idx="0">
                  <c:v>0.0158</c:v>
                </c:pt>
                <c:pt idx="1">
                  <c:v>0.0205</c:v>
                </c:pt>
                <c:pt idx="2">
                  <c:v>0.0243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2553643"/>
        <c:axId val="1656196"/>
      </c:line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196"/>
        <c:crosses val="autoZero"/>
        <c:auto val="1"/>
        <c:lblOffset val="100"/>
        <c:tickLblSkip val="1"/>
        <c:noMultiLvlLbl val="0"/>
      </c:catAx>
      <c:valAx>
        <c:axId val="1656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53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'Zał.1_WPF_bazowy'!$E$60:$N$60</c:f>
              <c:numCache>
                <c:ptCount val="10"/>
                <c:pt idx="0">
                  <c:v>0.1413</c:v>
                </c:pt>
                <c:pt idx="1">
                  <c:v>0.1166</c:v>
                </c:pt>
                <c:pt idx="2">
                  <c:v>0.0797</c:v>
                </c:pt>
                <c:pt idx="3">
                  <c:v>0.0496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'Zał.1_WPF_bazowy'!$E$54:$N$54</c:f>
              <c:numCache>
                <c:ptCount val="10"/>
                <c:pt idx="0">
                  <c:v>0.0158</c:v>
                </c:pt>
                <c:pt idx="1">
                  <c:v>0.0923</c:v>
                </c:pt>
                <c:pt idx="2">
                  <c:v>0.0876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905765"/>
        <c:axId val="67043022"/>
      </c:line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3022"/>
        <c:crosses val="autoZero"/>
        <c:auto val="1"/>
        <c:lblOffset val="100"/>
        <c:tickLblSkip val="1"/>
        <c:noMultiLvlLbl val="0"/>
      </c:catAx>
      <c:valAx>
        <c:axId val="67043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5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'Zał.1_WPF_bazowy'!$E$60:$N$60</c:f>
              <c:numCache>
                <c:ptCount val="10"/>
                <c:pt idx="0">
                  <c:v>0.1413</c:v>
                </c:pt>
                <c:pt idx="1">
                  <c:v>0.1166</c:v>
                </c:pt>
                <c:pt idx="2">
                  <c:v>0.0797</c:v>
                </c:pt>
                <c:pt idx="3">
                  <c:v>0.0496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'Zał.1_WPF_bazowy'!$E$57:$N$57</c:f>
              <c:numCache>
                <c:ptCount val="10"/>
                <c:pt idx="0">
                  <c:v>0.0158</c:v>
                </c:pt>
                <c:pt idx="1">
                  <c:v>0.0205</c:v>
                </c:pt>
                <c:pt idx="2">
                  <c:v>0.0243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516287"/>
        <c:axId val="61775672"/>
      </c:line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6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'Zał.1_WPF_bazowy'!$E$11:$N$11</c:f>
              <c:numCache>
                <c:ptCount val="10"/>
                <c:pt idx="0">
                  <c:v>35444627.99</c:v>
                </c:pt>
                <c:pt idx="1">
                  <c:v>35246765</c:v>
                </c:pt>
                <c:pt idx="2">
                  <c:v>35669726</c:v>
                </c:pt>
                <c:pt idx="3">
                  <c:v>36097762</c:v>
                </c:pt>
                <c:pt idx="4">
                  <c:v>36458762</c:v>
                </c:pt>
                <c:pt idx="5">
                  <c:v>36458762</c:v>
                </c:pt>
                <c:pt idx="6">
                  <c:v>36458762</c:v>
                </c:pt>
                <c:pt idx="7">
                  <c:v>36458762</c:v>
                </c:pt>
                <c:pt idx="8">
                  <c:v>36458762</c:v>
                </c:pt>
                <c:pt idx="9">
                  <c:v>36458762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'Zał.1_WPF_bazowy'!$E$18:$N$18</c:f>
              <c:numCache>
                <c:ptCount val="10"/>
                <c:pt idx="0">
                  <c:v>242250</c:v>
                </c:pt>
                <c:pt idx="1">
                  <c:v>2731444</c:v>
                </c:pt>
                <c:pt idx="2">
                  <c:v>2416023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9102555"/>
        <c:axId val="14814132"/>
      </c:barChart>
      <c:cat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4132"/>
        <c:crosses val="autoZero"/>
        <c:auto val="1"/>
        <c:lblOffset val="100"/>
        <c:tickLblSkip val="1"/>
        <c:noMultiLvlLbl val="0"/>
      </c:catAx>
      <c:valAx>
        <c:axId val="14814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255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'Zał.1_WPF_bazowy'!$E$22:$N$22</c:f>
              <c:numCache>
                <c:ptCount val="10"/>
                <c:pt idx="0">
                  <c:v>33280704.52</c:v>
                </c:pt>
                <c:pt idx="1">
                  <c:v>33521456</c:v>
                </c:pt>
                <c:pt idx="2">
                  <c:v>34039726</c:v>
                </c:pt>
                <c:pt idx="3">
                  <c:v>34441686</c:v>
                </c:pt>
                <c:pt idx="4">
                  <c:v>34771762</c:v>
                </c:pt>
                <c:pt idx="5">
                  <c:v>34858762</c:v>
                </c:pt>
                <c:pt idx="6">
                  <c:v>34958762</c:v>
                </c:pt>
                <c:pt idx="7">
                  <c:v>34958762</c:v>
                </c:pt>
                <c:pt idx="8">
                  <c:v>34958762</c:v>
                </c:pt>
                <c:pt idx="9">
                  <c:v>35054838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'Zał.1_WPF_bazowy'!$E$30:$N$30</c:f>
              <c:numCache>
                <c:ptCount val="10"/>
                <c:pt idx="0">
                  <c:v>6767646.19</c:v>
                </c:pt>
                <c:pt idx="1">
                  <c:v>6000000</c:v>
                </c:pt>
                <c:pt idx="2">
                  <c:v>1150000</c:v>
                </c:pt>
                <c:pt idx="3">
                  <c:v>1100000</c:v>
                </c:pt>
                <c:pt idx="4">
                  <c:v>1150000</c:v>
                </c:pt>
                <c:pt idx="5">
                  <c:v>1100000</c:v>
                </c:pt>
                <c:pt idx="6">
                  <c:v>800000</c:v>
                </c:pt>
                <c:pt idx="7">
                  <c:v>800000</c:v>
                </c:pt>
                <c:pt idx="8">
                  <c:v>943543</c:v>
                </c:pt>
                <c:pt idx="9">
                  <c:v>1403924</c:v>
                </c:pt>
              </c:numCache>
            </c:numRef>
          </c:val>
        </c:ser>
        <c:overlap val="100"/>
        <c:axId val="66218325"/>
        <c:axId val="59094014"/>
      </c:bar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4014"/>
        <c:crosses val="autoZero"/>
        <c:auto val="1"/>
        <c:lblOffset val="100"/>
        <c:tickLblSkip val="1"/>
        <c:noMultiLvlLbl val="0"/>
      </c:catAx>
      <c:valAx>
        <c:axId val="59094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832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'Zał.1_WPF_bazowy'!$E$66:$N$66</c:f>
              <c:numCache>
                <c:ptCount val="10"/>
                <c:pt idx="0">
                  <c:v>13314225.92</c:v>
                </c:pt>
                <c:pt idx="1">
                  <c:v>13200000</c:v>
                </c:pt>
                <c:pt idx="2">
                  <c:v>13300000</c:v>
                </c:pt>
                <c:pt idx="3">
                  <c:v>13400000</c:v>
                </c:pt>
                <c:pt idx="4">
                  <c:v>13500000</c:v>
                </c:pt>
                <c:pt idx="5">
                  <c:v>13600000</c:v>
                </c:pt>
                <c:pt idx="6">
                  <c:v>13700000</c:v>
                </c:pt>
                <c:pt idx="7">
                  <c:v>13700000</c:v>
                </c:pt>
                <c:pt idx="8">
                  <c:v>13700000</c:v>
                </c:pt>
                <c:pt idx="9">
                  <c:v>13700000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'Zał.1_WPF_bazowy'!$E$67:$N$67</c:f>
              <c:numCache>
                <c:ptCount val="10"/>
                <c:pt idx="0">
                  <c:v>3631363</c:v>
                </c:pt>
                <c:pt idx="1">
                  <c:v>3510000</c:v>
                </c:pt>
                <c:pt idx="2">
                  <c:v>3520000</c:v>
                </c:pt>
                <c:pt idx="3">
                  <c:v>3530000</c:v>
                </c:pt>
                <c:pt idx="4">
                  <c:v>3540000</c:v>
                </c:pt>
                <c:pt idx="5">
                  <c:v>3550000</c:v>
                </c:pt>
                <c:pt idx="6">
                  <c:v>3560000</c:v>
                </c:pt>
                <c:pt idx="7">
                  <c:v>3560000</c:v>
                </c:pt>
                <c:pt idx="8">
                  <c:v>3560000</c:v>
                </c:pt>
                <c:pt idx="9">
                  <c:v>3560000</c:v>
                </c:pt>
              </c:numCache>
            </c:numRef>
          </c:val>
          <c:smooth val="0"/>
        </c:ser>
        <c:marker val="1"/>
        <c:axId val="62084079"/>
        <c:axId val="21885800"/>
      </c:line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85800"/>
        <c:crosses val="autoZero"/>
        <c:auto val="1"/>
        <c:lblOffset val="100"/>
        <c:tickLblSkip val="1"/>
        <c:noMultiLvlLbl val="0"/>
      </c:catAx>
      <c:valAx>
        <c:axId val="21885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407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'Zał.1_WPF_bazowy'!$E$69:$N$69</c:f>
              <c:numCache>
                <c:ptCount val="10"/>
                <c:pt idx="0">
                  <c:v>348864</c:v>
                </c:pt>
                <c:pt idx="1">
                  <c:v>95572.25</c:v>
                </c:pt>
                <c:pt idx="2">
                  <c:v>1375</c:v>
                </c:pt>
                <c:pt idx="3">
                  <c:v>1375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'Zał.1_WPF_bazowy'!$E$70:$N$70</c:f>
              <c:numCache>
                <c:ptCount val="10"/>
                <c:pt idx="0">
                  <c:v>5175670</c:v>
                </c:pt>
                <c:pt idx="1">
                  <c:v>4553833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754473"/>
        <c:axId val="27919346"/>
      </c:line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5447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'Zał.1_WPF_bazowy'!$E$42:$N$42</c:f>
              <c:numCache>
                <c:ptCount val="10"/>
                <c:pt idx="0">
                  <c:v>388527.28</c:v>
                </c:pt>
                <c:pt idx="1">
                  <c:v>3056753</c:v>
                </c:pt>
                <c:pt idx="2">
                  <c:v>2896023</c:v>
                </c:pt>
                <c:pt idx="3">
                  <c:v>556076</c:v>
                </c:pt>
                <c:pt idx="4">
                  <c:v>537000</c:v>
                </c:pt>
                <c:pt idx="5">
                  <c:v>500000</c:v>
                </c:pt>
                <c:pt idx="6">
                  <c:v>700000</c:v>
                </c:pt>
                <c:pt idx="7">
                  <c:v>700000</c:v>
                </c:pt>
                <c:pt idx="8">
                  <c:v>556457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'Zał.1_WPF_bazowy'!$E$30:$N$30</c:f>
              <c:numCache>
                <c:ptCount val="10"/>
                <c:pt idx="0">
                  <c:v>6767646.19</c:v>
                </c:pt>
                <c:pt idx="1">
                  <c:v>6000000</c:v>
                </c:pt>
                <c:pt idx="2">
                  <c:v>1150000</c:v>
                </c:pt>
                <c:pt idx="3">
                  <c:v>1100000</c:v>
                </c:pt>
                <c:pt idx="4">
                  <c:v>1150000</c:v>
                </c:pt>
                <c:pt idx="5">
                  <c:v>1100000</c:v>
                </c:pt>
                <c:pt idx="6">
                  <c:v>800000</c:v>
                </c:pt>
                <c:pt idx="7">
                  <c:v>800000</c:v>
                </c:pt>
                <c:pt idx="8">
                  <c:v>943543</c:v>
                </c:pt>
                <c:pt idx="9">
                  <c:v>1403924</c:v>
                </c:pt>
              </c:numCache>
            </c:numRef>
          </c:val>
        </c:ser>
        <c:overlap val="100"/>
        <c:axId val="49947523"/>
        <c:axId val="46874524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'Zał.1_WPF_bazowy'!$E$51:$N$51</c:f>
              <c:numCache>
                <c:ptCount val="10"/>
                <c:pt idx="0">
                  <c:v>2163923.47</c:v>
                </c:pt>
                <c:pt idx="1">
                  <c:v>1725309</c:v>
                </c:pt>
                <c:pt idx="2">
                  <c:v>1630000</c:v>
                </c:pt>
                <c:pt idx="3">
                  <c:v>1656076</c:v>
                </c:pt>
                <c:pt idx="4">
                  <c:v>1687000</c:v>
                </c:pt>
                <c:pt idx="5">
                  <c:v>1600000</c:v>
                </c:pt>
                <c:pt idx="6">
                  <c:v>1500000</c:v>
                </c:pt>
                <c:pt idx="7">
                  <c:v>1500000</c:v>
                </c:pt>
                <c:pt idx="8">
                  <c:v>1500000</c:v>
                </c:pt>
                <c:pt idx="9">
                  <c:v>1403924</c:v>
                </c:pt>
              </c:numCache>
            </c:numRef>
          </c:val>
          <c:smooth val="0"/>
        </c:ser>
        <c:axId val="49947523"/>
        <c:axId val="46874524"/>
      </c:line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4524"/>
        <c:crosses val="autoZero"/>
        <c:auto val="1"/>
        <c:lblOffset val="100"/>
        <c:tickLblSkip val="1"/>
        <c:noMultiLvlLbl val="0"/>
      </c:catAx>
      <c:valAx>
        <c:axId val="46874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4752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'Zał.1_WPF_bazowy'!$E$59:$N$59</c:f>
              <c:numCache>
                <c:ptCount val="10"/>
                <c:pt idx="0">
                  <c:v>0.1178</c:v>
                </c:pt>
                <c:pt idx="1">
                  <c:v>0.093</c:v>
                </c:pt>
                <c:pt idx="2">
                  <c:v>0.0561</c:v>
                </c:pt>
                <c:pt idx="3">
                  <c:v>0.0496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'Zał.1_WPF_bazowy'!$E$54:$N$54</c:f>
              <c:numCache>
                <c:ptCount val="10"/>
                <c:pt idx="0">
                  <c:v>0.0158</c:v>
                </c:pt>
                <c:pt idx="1">
                  <c:v>0.0923</c:v>
                </c:pt>
                <c:pt idx="2">
                  <c:v>0.0876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217533"/>
        <c:axId val="38740070"/>
      </c:line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7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'Zał.1_WPF_bazowy'!$E$48:$N$48</c:f>
              <c:numCache>
                <c:ptCount val="10"/>
                <c:pt idx="0">
                  <c:v>4902309</c:v>
                </c:pt>
                <c:pt idx="1">
                  <c:v>6445556</c:v>
                </c:pt>
                <c:pt idx="2">
                  <c:v>3549533</c:v>
                </c:pt>
                <c:pt idx="3">
                  <c:v>2993457</c:v>
                </c:pt>
                <c:pt idx="4">
                  <c:v>2456457</c:v>
                </c:pt>
                <c:pt idx="5">
                  <c:v>1956457</c:v>
                </c:pt>
                <c:pt idx="6">
                  <c:v>1256457</c:v>
                </c:pt>
                <c:pt idx="7">
                  <c:v>556457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'Zał.1_WPF_bazowy'!$E$42:$N$42</c:f>
              <c:numCache>
                <c:ptCount val="10"/>
                <c:pt idx="0">
                  <c:v>388527.28</c:v>
                </c:pt>
                <c:pt idx="1">
                  <c:v>3056753</c:v>
                </c:pt>
                <c:pt idx="2">
                  <c:v>2896023</c:v>
                </c:pt>
                <c:pt idx="3">
                  <c:v>556076</c:v>
                </c:pt>
                <c:pt idx="4">
                  <c:v>537000</c:v>
                </c:pt>
                <c:pt idx="5">
                  <c:v>500000</c:v>
                </c:pt>
                <c:pt idx="6">
                  <c:v>700000</c:v>
                </c:pt>
                <c:pt idx="7">
                  <c:v>700000</c:v>
                </c:pt>
                <c:pt idx="8">
                  <c:v>556457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'Zał.1_WPF_bazowy'!$E$9:$N$9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'Zał.1_WPF_bazowy'!$E$26:$N$26</c:f>
              <c:numCache>
                <c:ptCount val="10"/>
                <c:pt idx="0">
                  <c:v>145000</c:v>
                </c:pt>
                <c:pt idx="1">
                  <c:v>450000</c:v>
                </c:pt>
                <c:pt idx="2">
                  <c:v>442000</c:v>
                </c:pt>
                <c:pt idx="3">
                  <c:v>395000</c:v>
                </c:pt>
                <c:pt idx="4">
                  <c:v>316000</c:v>
                </c:pt>
                <c:pt idx="5">
                  <c:v>258000</c:v>
                </c:pt>
                <c:pt idx="6">
                  <c:v>168000</c:v>
                </c:pt>
                <c:pt idx="7">
                  <c:v>121000</c:v>
                </c:pt>
                <c:pt idx="8">
                  <c:v>58000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116311"/>
        <c:axId val="50937936"/>
      </c:line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7936"/>
        <c:crosses val="autoZero"/>
        <c:auto val="1"/>
        <c:lblOffset val="100"/>
        <c:tickLblSkip val="1"/>
        <c:noMultiLvlLbl val="0"/>
      </c:catAx>
      <c:valAx>
        <c:axId val="50937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1631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('Zał.1_WPF_bazowy'!#REF!,'Zał.1_WPF_bazowy'!$E$9:$N$9)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('Zał.1_WPF_bazowy'!#REF!,'Zał.1_WPF_bazowy'!$E$11:$N$11)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('Zał.1_WPF_bazowy'!#REF!,'Zał.1_WPF_bazowy'!$E$9:$N$9)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('Zał.1_WPF_bazowy'!#REF!,'Zał.1_WPF_bazowy'!$E$22:$N$22)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5788241"/>
        <c:axId val="32332122"/>
      </c:line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2122"/>
        <c:crosses val="autoZero"/>
        <c:auto val="1"/>
        <c:lblOffset val="100"/>
        <c:tickLblSkip val="1"/>
        <c:noMultiLvlLbl val="0"/>
      </c:catAx>
      <c:valAx>
        <c:axId val="32332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824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O203"/>
  <sheetViews>
    <sheetView tabSelected="1" zoomScaleSheetLayoutView="100" zoomScalePageLayoutView="0" workbookViewId="0" topLeftCell="A1">
      <pane xSplit="4" ySplit="9" topLeftCell="E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8" sqref="D8:H8"/>
    </sheetView>
  </sheetViews>
  <sheetFormatPr defaultColWidth="8.796875" defaultRowHeight="14.25" outlineLevelRow="5" outlineLevelCol="1"/>
  <cols>
    <col min="1" max="1" width="4.19921875" style="213" hidden="1" customWidth="1" outlineLevel="1"/>
    <col min="2" max="2" width="6.59765625" style="1" customWidth="1" collapsed="1"/>
    <col min="3" max="3" width="21.69921875" style="259" hidden="1" customWidth="1"/>
    <col min="4" max="4" width="70.59765625" style="1" customWidth="1"/>
    <col min="5" max="6" width="10.19921875" style="1" customWidth="1"/>
    <col min="7" max="7" width="10.5" style="1" customWidth="1"/>
    <col min="8" max="10" width="10.3984375" style="1" customWidth="1"/>
    <col min="11" max="11" width="10.69921875" style="1" customWidth="1"/>
    <col min="12" max="12" width="10.09765625" style="1" customWidth="1"/>
    <col min="13" max="13" width="10.19921875" style="1" customWidth="1"/>
    <col min="14" max="14" width="10" style="1" customWidth="1"/>
  </cols>
  <sheetData>
    <row r="1" spans="2:15" ht="14.25">
      <c r="B1" s="101" t="s">
        <v>474</v>
      </c>
      <c r="C1" s="255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2:15" ht="15">
      <c r="B2" s="101" t="s">
        <v>333</v>
      </c>
      <c r="C2" s="256"/>
      <c r="D2" s="102"/>
      <c r="E2" s="103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2:15" ht="14.25">
      <c r="B3" s="101" t="s">
        <v>334</v>
      </c>
      <c r="C3" s="257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2:15" ht="14.25">
      <c r="B4" s="247" t="s">
        <v>314</v>
      </c>
      <c r="C4" s="258"/>
      <c r="D4" s="63" t="str">
        <f>DaneZrodlowe!B4</f>
        <v>uchwała</v>
      </c>
      <c r="G4" s="57"/>
      <c r="H4" s="57"/>
      <c r="I4" s="57"/>
      <c r="J4" s="57"/>
      <c r="K4" s="57"/>
      <c r="L4" s="57"/>
      <c r="M4" s="57"/>
      <c r="N4" s="57"/>
      <c r="O4" s="58"/>
    </row>
    <row r="5" spans="2:15" ht="14.25">
      <c r="B5" s="248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7"/>
      <c r="N5" s="57"/>
      <c r="O5" s="58"/>
    </row>
    <row r="6" spans="2:15" ht="14.25">
      <c r="B6" s="249" t="s">
        <v>16</v>
      </c>
      <c r="D6" s="36" t="str">
        <f>CONCATENATE(DaneZrodlowe!N1," - ",DaneZrodlowe!Q1)</f>
        <v>2017 - 2026</v>
      </c>
      <c r="E6" s="1" t="s">
        <v>486</v>
      </c>
      <c r="G6" s="70"/>
      <c r="H6" s="56"/>
      <c r="I6" s="70"/>
      <c r="J6" s="103"/>
      <c r="K6" s="103"/>
      <c r="L6" s="57"/>
      <c r="M6" s="57"/>
      <c r="N6" s="57"/>
      <c r="O6" s="58"/>
    </row>
    <row r="7" spans="7:15" ht="14.25">
      <c r="G7" s="70"/>
      <c r="H7" s="57"/>
      <c r="I7" s="57"/>
      <c r="J7" s="57"/>
      <c r="K7" s="57"/>
      <c r="L7" s="57"/>
      <c r="M7" s="57"/>
      <c r="N7" s="57"/>
      <c r="O7" s="58"/>
    </row>
    <row r="8" spans="2:15" ht="15.75">
      <c r="B8" s="57"/>
      <c r="C8" s="258"/>
      <c r="D8" s="330" t="s">
        <v>487</v>
      </c>
      <c r="E8" s="331"/>
      <c r="F8" s="331"/>
      <c r="G8" s="331"/>
      <c r="H8" s="331"/>
      <c r="I8" s="145"/>
      <c r="J8" s="57"/>
      <c r="K8" s="57"/>
      <c r="L8" s="57"/>
      <c r="M8" s="57"/>
      <c r="N8" s="57"/>
      <c r="O8" s="58"/>
    </row>
    <row r="9" spans="1:15" ht="14.25">
      <c r="A9" s="215" t="s">
        <v>326</v>
      </c>
      <c r="B9" s="24" t="s">
        <v>0</v>
      </c>
      <c r="C9" s="71" t="s">
        <v>414</v>
      </c>
      <c r="D9" s="195" t="s">
        <v>1</v>
      </c>
      <c r="E9" s="28">
        <f>+DaneZrodlowe!$N$1</f>
        <v>2017</v>
      </c>
      <c r="F9" s="25">
        <f>+E9+1</f>
        <v>2018</v>
      </c>
      <c r="G9" s="25">
        <f aca="true" t="shared" si="0" ref="G9:N9">+F9+1</f>
        <v>2019</v>
      </c>
      <c r="H9" s="25">
        <f t="shared" si="0"/>
        <v>2020</v>
      </c>
      <c r="I9" s="25">
        <f t="shared" si="0"/>
        <v>2021</v>
      </c>
      <c r="J9" s="25">
        <f t="shared" si="0"/>
        <v>2022</v>
      </c>
      <c r="K9" s="25">
        <f t="shared" si="0"/>
        <v>2023</v>
      </c>
      <c r="L9" s="25">
        <f t="shared" si="0"/>
        <v>2024</v>
      </c>
      <c r="M9" s="25">
        <f t="shared" si="0"/>
        <v>2025</v>
      </c>
      <c r="N9" s="25">
        <f t="shared" si="0"/>
        <v>2026</v>
      </c>
      <c r="O9" s="26"/>
    </row>
    <row r="10" spans="1:15" ht="15" outlineLevel="1">
      <c r="A10" s="213" t="s">
        <v>28</v>
      </c>
      <c r="B10" s="29">
        <v>1</v>
      </c>
      <c r="C10" s="260" t="s">
        <v>24</v>
      </c>
      <c r="D10" s="197" t="s">
        <v>24</v>
      </c>
      <c r="E10" s="31">
        <f>35686877.99</f>
        <v>35686877.99</v>
      </c>
      <c r="F10" s="32">
        <f>37978209</f>
        <v>37978209</v>
      </c>
      <c r="G10" s="32">
        <f>38085749</f>
        <v>38085749</v>
      </c>
      <c r="H10" s="32">
        <f>36097762</f>
        <v>36097762</v>
      </c>
      <c r="I10" s="32">
        <f aca="true" t="shared" si="1" ref="I10:N11">36458762</f>
        <v>36458762</v>
      </c>
      <c r="J10" s="32">
        <f t="shared" si="1"/>
        <v>36458762</v>
      </c>
      <c r="K10" s="32">
        <f t="shared" si="1"/>
        <v>36458762</v>
      </c>
      <c r="L10" s="32">
        <f t="shared" si="1"/>
        <v>36458762</v>
      </c>
      <c r="M10" s="32">
        <f t="shared" si="1"/>
        <v>36458762</v>
      </c>
      <c r="N10" s="32">
        <f t="shared" si="1"/>
        <v>36458762</v>
      </c>
      <c r="O10" s="27"/>
    </row>
    <row r="11" spans="1:14" ht="14.25" outlineLevel="2">
      <c r="A11" s="213" t="s">
        <v>28</v>
      </c>
      <c r="B11" s="30" t="s">
        <v>132</v>
      </c>
      <c r="C11" s="264" t="s">
        <v>36</v>
      </c>
      <c r="D11" s="198" t="s">
        <v>328</v>
      </c>
      <c r="E11" s="33">
        <f>35444627.99</f>
        <v>35444627.99</v>
      </c>
      <c r="F11" s="34">
        <f>35246765</f>
        <v>35246765</v>
      </c>
      <c r="G11" s="34">
        <f>35669726</f>
        <v>35669726</v>
      </c>
      <c r="H11" s="34">
        <f>36097762</f>
        <v>36097762</v>
      </c>
      <c r="I11" s="34">
        <f t="shared" si="1"/>
        <v>36458762</v>
      </c>
      <c r="J11" s="34">
        <f t="shared" si="1"/>
        <v>36458762</v>
      </c>
      <c r="K11" s="34">
        <f t="shared" si="1"/>
        <v>36458762</v>
      </c>
      <c r="L11" s="34">
        <f t="shared" si="1"/>
        <v>36458762</v>
      </c>
      <c r="M11" s="34">
        <f t="shared" si="1"/>
        <v>36458762</v>
      </c>
      <c r="N11" s="34">
        <f t="shared" si="1"/>
        <v>36458762</v>
      </c>
    </row>
    <row r="12" spans="2:14" ht="14.25" outlineLevel="3">
      <c r="B12" s="30" t="s">
        <v>37</v>
      </c>
      <c r="C12" s="79" t="s">
        <v>38</v>
      </c>
      <c r="D12" s="199" t="s">
        <v>175</v>
      </c>
      <c r="E12" s="33">
        <f>5093535</f>
        <v>5093535</v>
      </c>
      <c r="F12" s="34">
        <f>5150000</f>
        <v>5150000</v>
      </c>
      <c r="G12" s="34">
        <f>5211800</f>
        <v>5211800</v>
      </c>
      <c r="H12" s="34">
        <f aca="true" t="shared" si="2" ref="H12:N12">5275000</f>
        <v>5275000</v>
      </c>
      <c r="I12" s="34">
        <f t="shared" si="2"/>
        <v>5275000</v>
      </c>
      <c r="J12" s="34">
        <f t="shared" si="2"/>
        <v>5275000</v>
      </c>
      <c r="K12" s="34">
        <f t="shared" si="2"/>
        <v>5275000</v>
      </c>
      <c r="L12" s="34">
        <f t="shared" si="2"/>
        <v>5275000</v>
      </c>
      <c r="M12" s="34">
        <f t="shared" si="2"/>
        <v>5275000</v>
      </c>
      <c r="N12" s="34">
        <f t="shared" si="2"/>
        <v>5275000</v>
      </c>
    </row>
    <row r="13" spans="2:14" ht="14.25" outlineLevel="3">
      <c r="B13" s="30" t="s">
        <v>39</v>
      </c>
      <c r="C13" s="79" t="s">
        <v>40</v>
      </c>
      <c r="D13" s="199" t="s">
        <v>176</v>
      </c>
      <c r="E13" s="33">
        <f>1000</f>
        <v>1000</v>
      </c>
      <c r="F13" s="34">
        <f>1100</f>
        <v>1100</v>
      </c>
      <c r="G13" s="34">
        <f>1100</f>
        <v>1100</v>
      </c>
      <c r="H13" s="34">
        <f>1100</f>
        <v>1100</v>
      </c>
      <c r="I13" s="34">
        <f>1100</f>
        <v>1100</v>
      </c>
      <c r="J13" s="34">
        <f>1100</f>
        <v>1100</v>
      </c>
      <c r="K13" s="34">
        <f>1100</f>
        <v>1100</v>
      </c>
      <c r="L13" s="34">
        <f>1100</f>
        <v>1100</v>
      </c>
      <c r="M13" s="34">
        <f>1100</f>
        <v>1100</v>
      </c>
      <c r="N13" s="34">
        <f>1100</f>
        <v>1100</v>
      </c>
    </row>
    <row r="14" spans="2:14" ht="14.25" outlineLevel="3">
      <c r="B14" s="30" t="s">
        <v>41</v>
      </c>
      <c r="C14" s="79" t="s">
        <v>42</v>
      </c>
      <c r="D14" s="199" t="s">
        <v>440</v>
      </c>
      <c r="E14" s="33">
        <f>4065945.21</f>
        <v>4065945.21</v>
      </c>
      <c r="F14" s="34">
        <f>4100000</f>
        <v>4100000</v>
      </c>
      <c r="G14" s="34">
        <f>4150000</f>
        <v>4150000</v>
      </c>
      <c r="H14" s="34">
        <f>4200000</f>
        <v>4200000</v>
      </c>
      <c r="I14" s="34">
        <f aca="true" t="shared" si="3" ref="I14:N14">4242000</f>
        <v>4242000</v>
      </c>
      <c r="J14" s="34">
        <f t="shared" si="3"/>
        <v>4242000</v>
      </c>
      <c r="K14" s="34">
        <f t="shared" si="3"/>
        <v>4242000</v>
      </c>
      <c r="L14" s="34">
        <f t="shared" si="3"/>
        <v>4242000</v>
      </c>
      <c r="M14" s="34">
        <f t="shared" si="3"/>
        <v>4242000</v>
      </c>
      <c r="N14" s="34">
        <f t="shared" si="3"/>
        <v>4242000</v>
      </c>
    </row>
    <row r="15" spans="2:14" ht="14.25" outlineLevel="4">
      <c r="B15" s="30" t="s">
        <v>43</v>
      </c>
      <c r="C15" s="79" t="s">
        <v>44</v>
      </c>
      <c r="D15" s="200" t="s">
        <v>177</v>
      </c>
      <c r="E15" s="33">
        <f>2268000</f>
        <v>2268000</v>
      </c>
      <c r="F15" s="34">
        <f>2300000</f>
        <v>2300000</v>
      </c>
      <c r="G15" s="34">
        <f>2330000</f>
        <v>2330000</v>
      </c>
      <c r="H15" s="34">
        <f>2360000</f>
        <v>2360000</v>
      </c>
      <c r="I15" s="34">
        <f aca="true" t="shared" si="4" ref="I15:N15">2400000</f>
        <v>2400000</v>
      </c>
      <c r="J15" s="34">
        <f t="shared" si="4"/>
        <v>2400000</v>
      </c>
      <c r="K15" s="34">
        <f t="shared" si="4"/>
        <v>2400000</v>
      </c>
      <c r="L15" s="34">
        <f t="shared" si="4"/>
        <v>2400000</v>
      </c>
      <c r="M15" s="34">
        <f t="shared" si="4"/>
        <v>2400000</v>
      </c>
      <c r="N15" s="34">
        <f t="shared" si="4"/>
        <v>2400000</v>
      </c>
    </row>
    <row r="16" spans="2:14" ht="14.25" outlineLevel="3">
      <c r="B16" s="30" t="s">
        <v>45</v>
      </c>
      <c r="C16" s="79" t="s">
        <v>46</v>
      </c>
      <c r="D16" s="199" t="s">
        <v>178</v>
      </c>
      <c r="E16" s="33">
        <f>12071315</f>
        <v>12071315</v>
      </c>
      <c r="F16" s="34">
        <f>12000000</f>
        <v>12000000</v>
      </c>
      <c r="G16" s="34">
        <f>12150000</f>
        <v>12150000</v>
      </c>
      <c r="H16" s="34">
        <f>12300000</f>
        <v>12300000</v>
      </c>
      <c r="I16" s="34">
        <f aca="true" t="shared" si="5" ref="I16:N16">12400000</f>
        <v>12400000</v>
      </c>
      <c r="J16" s="34">
        <f t="shared" si="5"/>
        <v>12400000</v>
      </c>
      <c r="K16" s="34">
        <f t="shared" si="5"/>
        <v>12400000</v>
      </c>
      <c r="L16" s="34">
        <f t="shared" si="5"/>
        <v>12400000</v>
      </c>
      <c r="M16" s="34">
        <f t="shared" si="5"/>
        <v>12400000</v>
      </c>
      <c r="N16" s="34">
        <f t="shared" si="5"/>
        <v>12400000</v>
      </c>
    </row>
    <row r="17" spans="2:14" ht="14.25" outlineLevel="3">
      <c r="B17" s="30" t="s">
        <v>47</v>
      </c>
      <c r="C17" s="79" t="s">
        <v>48</v>
      </c>
      <c r="D17" s="199" t="s">
        <v>179</v>
      </c>
      <c r="E17" s="33">
        <f>12537595.78</f>
        <v>12537595.78</v>
      </c>
      <c r="F17" s="34">
        <f>12450000</f>
        <v>12450000</v>
      </c>
      <c r="G17" s="34">
        <f>12580000</f>
        <v>12580000</v>
      </c>
      <c r="H17" s="34">
        <f>12730000</f>
        <v>12730000</v>
      </c>
      <c r="I17" s="34">
        <f aca="true" t="shared" si="6" ref="I17:N17">12850000</f>
        <v>12850000</v>
      </c>
      <c r="J17" s="34">
        <f t="shared" si="6"/>
        <v>12850000</v>
      </c>
      <c r="K17" s="34">
        <f t="shared" si="6"/>
        <v>12850000</v>
      </c>
      <c r="L17" s="34">
        <f t="shared" si="6"/>
        <v>12850000</v>
      </c>
      <c r="M17" s="34">
        <f t="shared" si="6"/>
        <v>12850000</v>
      </c>
      <c r="N17" s="34">
        <f t="shared" si="6"/>
        <v>12850000</v>
      </c>
    </row>
    <row r="18" spans="1:14" ht="14.25" outlineLevel="2">
      <c r="A18" s="213" t="s">
        <v>28</v>
      </c>
      <c r="B18" s="30" t="s">
        <v>133</v>
      </c>
      <c r="C18" s="79" t="s">
        <v>405</v>
      </c>
      <c r="D18" s="198" t="s">
        <v>439</v>
      </c>
      <c r="E18" s="33">
        <f>242250</f>
        <v>242250</v>
      </c>
      <c r="F18" s="34">
        <f>2731444</f>
        <v>2731444</v>
      </c>
      <c r="G18" s="34">
        <f>2416023</f>
        <v>2416023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  <c r="M18" s="34">
        <f>0</f>
        <v>0</v>
      </c>
      <c r="N18" s="34">
        <f>0</f>
        <v>0</v>
      </c>
    </row>
    <row r="19" spans="1:14" ht="14.25" outlineLevel="3">
      <c r="A19" s="213" t="s">
        <v>28</v>
      </c>
      <c r="B19" s="30" t="s">
        <v>50</v>
      </c>
      <c r="C19" s="79" t="s">
        <v>51</v>
      </c>
      <c r="D19" s="199" t="s">
        <v>27</v>
      </c>
      <c r="E19" s="33">
        <f>0</f>
        <v>0</v>
      </c>
      <c r="F19" s="34">
        <f>0</f>
        <v>0</v>
      </c>
      <c r="G19" s="34">
        <f>0</f>
        <v>0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  <c r="M19" s="34">
        <f>0</f>
        <v>0</v>
      </c>
      <c r="N19" s="34">
        <f>0</f>
        <v>0</v>
      </c>
    </row>
    <row r="20" spans="2:14" ht="14.25" outlineLevel="3">
      <c r="B20" s="30" t="s">
        <v>52</v>
      </c>
      <c r="C20" s="79" t="s">
        <v>53</v>
      </c>
      <c r="D20" s="199" t="s">
        <v>180</v>
      </c>
      <c r="E20" s="33">
        <f>242250</f>
        <v>242250</v>
      </c>
      <c r="F20" s="34">
        <f>2731444</f>
        <v>2731444</v>
      </c>
      <c r="G20" s="34">
        <f>2416023</f>
        <v>2416023</v>
      </c>
      <c r="H20" s="34">
        <f>0</f>
        <v>0</v>
      </c>
      <c r="I20" s="34">
        <f>0</f>
        <v>0</v>
      </c>
      <c r="J20" s="34">
        <f>0</f>
        <v>0</v>
      </c>
      <c r="K20" s="34">
        <f>0</f>
        <v>0</v>
      </c>
      <c r="L20" s="34">
        <f>0</f>
        <v>0</v>
      </c>
      <c r="M20" s="34">
        <f>0</f>
        <v>0</v>
      </c>
      <c r="N20" s="34">
        <f>0</f>
        <v>0</v>
      </c>
    </row>
    <row r="21" spans="1:15" ht="15" outlineLevel="1">
      <c r="A21" s="213" t="s">
        <v>28</v>
      </c>
      <c r="B21" s="29">
        <v>2</v>
      </c>
      <c r="C21" s="260" t="s">
        <v>19</v>
      </c>
      <c r="D21" s="197" t="s">
        <v>19</v>
      </c>
      <c r="E21" s="31">
        <f>40048350.71</f>
        <v>40048350.71</v>
      </c>
      <c r="F21" s="32">
        <f>39521456</f>
        <v>39521456</v>
      </c>
      <c r="G21" s="32">
        <f>35189726</f>
        <v>35189726</v>
      </c>
      <c r="H21" s="32">
        <f>35541686</f>
        <v>35541686</v>
      </c>
      <c r="I21" s="32">
        <f>35921762</f>
        <v>35921762</v>
      </c>
      <c r="J21" s="32">
        <f>35958762</f>
        <v>35958762</v>
      </c>
      <c r="K21" s="32">
        <f>35758762</f>
        <v>35758762</v>
      </c>
      <c r="L21" s="32">
        <f>35758762</f>
        <v>35758762</v>
      </c>
      <c r="M21" s="32">
        <f>35902305</f>
        <v>35902305</v>
      </c>
      <c r="N21" s="32">
        <f>36458762</f>
        <v>36458762</v>
      </c>
      <c r="O21" s="27"/>
    </row>
    <row r="22" spans="1:14" ht="14.25" outlineLevel="2">
      <c r="A22" s="213" t="s">
        <v>28</v>
      </c>
      <c r="B22" s="30" t="s">
        <v>134</v>
      </c>
      <c r="C22" s="264" t="s">
        <v>406</v>
      </c>
      <c r="D22" s="198" t="s">
        <v>181</v>
      </c>
      <c r="E22" s="33">
        <f>33280704.52</f>
        <v>33280704.52</v>
      </c>
      <c r="F22" s="34">
        <f>33521456</f>
        <v>33521456</v>
      </c>
      <c r="G22" s="34">
        <f>34039726</f>
        <v>34039726</v>
      </c>
      <c r="H22" s="34">
        <f>34441686</f>
        <v>34441686</v>
      </c>
      <c r="I22" s="34">
        <f>34771762</f>
        <v>34771762</v>
      </c>
      <c r="J22" s="34">
        <f>34858762</f>
        <v>34858762</v>
      </c>
      <c r="K22" s="34">
        <f>34958762</f>
        <v>34958762</v>
      </c>
      <c r="L22" s="34">
        <f>34958762</f>
        <v>34958762</v>
      </c>
      <c r="M22" s="34">
        <f>34958762</f>
        <v>34958762</v>
      </c>
      <c r="N22" s="34">
        <f>35054838</f>
        <v>35054838</v>
      </c>
    </row>
    <row r="23" spans="1:14" ht="14.25" outlineLevel="3">
      <c r="A23" s="213" t="s">
        <v>28</v>
      </c>
      <c r="B23" s="30" t="s">
        <v>55</v>
      </c>
      <c r="C23" s="79" t="s">
        <v>56</v>
      </c>
      <c r="D23" s="199" t="s">
        <v>438</v>
      </c>
      <c r="E23" s="33">
        <f>28844</f>
        <v>28844</v>
      </c>
      <c r="F23" s="34">
        <f>0</f>
        <v>0</v>
      </c>
      <c r="G23" s="34">
        <f>0</f>
        <v>0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  <c r="M23" s="34">
        <f>0</f>
        <v>0</v>
      </c>
      <c r="N23" s="34">
        <f>0</f>
        <v>0</v>
      </c>
    </row>
    <row r="24" spans="1:14" ht="24" outlineLevel="4">
      <c r="A24" s="213" t="s">
        <v>28</v>
      </c>
      <c r="B24" s="30" t="s">
        <v>57</v>
      </c>
      <c r="C24" s="79" t="s">
        <v>338</v>
      </c>
      <c r="D24" s="200" t="s">
        <v>437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  <c r="M24" s="34">
        <f>0</f>
        <v>0</v>
      </c>
      <c r="N24" s="34">
        <f>0</f>
        <v>0</v>
      </c>
    </row>
    <row r="25" spans="2:14" ht="36" outlineLevel="3">
      <c r="B25" s="30" t="s">
        <v>58</v>
      </c>
      <c r="C25" s="79" t="s">
        <v>339</v>
      </c>
      <c r="D25" s="199" t="s">
        <v>461</v>
      </c>
      <c r="E25" s="33">
        <f>0</f>
        <v>0</v>
      </c>
      <c r="F25" s="34">
        <f>0</f>
        <v>0</v>
      </c>
      <c r="G25" s="34">
        <f>0</f>
        <v>0</v>
      </c>
      <c r="H25" s="34">
        <f>0</f>
        <v>0</v>
      </c>
      <c r="I25" s="34">
        <f>0</f>
        <v>0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</row>
    <row r="26" spans="1:14" ht="14.25" outlineLevel="3">
      <c r="A26" s="213" t="s">
        <v>28</v>
      </c>
      <c r="B26" s="30" t="s">
        <v>59</v>
      </c>
      <c r="C26" s="79" t="s">
        <v>340</v>
      </c>
      <c r="D26" s="199" t="s">
        <v>182</v>
      </c>
      <c r="E26" s="33">
        <f>145000</f>
        <v>145000</v>
      </c>
      <c r="F26" s="34">
        <f>450000</f>
        <v>450000</v>
      </c>
      <c r="G26" s="34">
        <f>442000</f>
        <v>442000</v>
      </c>
      <c r="H26" s="34">
        <f>395000</f>
        <v>395000</v>
      </c>
      <c r="I26" s="34">
        <f>316000</f>
        <v>316000</v>
      </c>
      <c r="J26" s="34">
        <f>258000</f>
        <v>258000</v>
      </c>
      <c r="K26" s="34">
        <f>168000</f>
        <v>168000</v>
      </c>
      <c r="L26" s="34">
        <f>121000</f>
        <v>121000</v>
      </c>
      <c r="M26" s="34">
        <f>58000</f>
        <v>58000</v>
      </c>
      <c r="N26" s="34">
        <f>0</f>
        <v>0</v>
      </c>
    </row>
    <row r="27" spans="1:14" ht="14.25" outlineLevel="4">
      <c r="A27" s="213" t="s">
        <v>28</v>
      </c>
      <c r="B27" s="30" t="s">
        <v>60</v>
      </c>
      <c r="C27" s="79" t="s">
        <v>341</v>
      </c>
      <c r="D27" s="200" t="s">
        <v>460</v>
      </c>
      <c r="E27" s="33">
        <f>145000</f>
        <v>145000</v>
      </c>
      <c r="F27" s="34">
        <f>450000</f>
        <v>450000</v>
      </c>
      <c r="G27" s="34">
        <f>442000</f>
        <v>442000</v>
      </c>
      <c r="H27" s="34">
        <f>395000</f>
        <v>395000</v>
      </c>
      <c r="I27" s="34">
        <f>316000</f>
        <v>316000</v>
      </c>
      <c r="J27" s="34">
        <f>258000</f>
        <v>258000</v>
      </c>
      <c r="K27" s="34">
        <f>168000</f>
        <v>168000</v>
      </c>
      <c r="L27" s="34">
        <f>121000</f>
        <v>121000</v>
      </c>
      <c r="M27" s="34">
        <f>58000</f>
        <v>58000</v>
      </c>
      <c r="N27" s="34">
        <f>0</f>
        <v>0</v>
      </c>
    </row>
    <row r="28" spans="1:14" s="237" customFormat="1" ht="36" outlineLevel="5">
      <c r="A28" s="243" t="s">
        <v>28</v>
      </c>
      <c r="B28" s="30" t="s">
        <v>342</v>
      </c>
      <c r="C28" s="79" t="s">
        <v>343</v>
      </c>
      <c r="D28" s="265" t="s">
        <v>415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  <c r="M28" s="34">
        <f>0</f>
        <v>0</v>
      </c>
      <c r="N28" s="34">
        <f>0</f>
        <v>0</v>
      </c>
    </row>
    <row r="29" spans="1:14" s="237" customFormat="1" ht="24" outlineLevel="5">
      <c r="A29" s="243" t="s">
        <v>28</v>
      </c>
      <c r="B29" s="30" t="s">
        <v>344</v>
      </c>
      <c r="C29" s="79" t="s">
        <v>345</v>
      </c>
      <c r="D29" s="265" t="s">
        <v>416</v>
      </c>
      <c r="E29" s="33">
        <f>0</f>
        <v>0</v>
      </c>
      <c r="F29" s="34">
        <f>0</f>
        <v>0</v>
      </c>
      <c r="G29" s="34">
        <f>0</f>
        <v>0</v>
      </c>
      <c r="H29" s="34">
        <f>0</f>
        <v>0</v>
      </c>
      <c r="I29" s="34">
        <f>0</f>
        <v>0</v>
      </c>
      <c r="J29" s="34">
        <f>0</f>
        <v>0</v>
      </c>
      <c r="K29" s="34">
        <f>0</f>
        <v>0</v>
      </c>
      <c r="L29" s="34">
        <f>0</f>
        <v>0</v>
      </c>
      <c r="M29" s="34">
        <f>0</f>
        <v>0</v>
      </c>
      <c r="N29" s="34">
        <f>0</f>
        <v>0</v>
      </c>
    </row>
    <row r="30" spans="1:14" ht="14.25" outlineLevel="2">
      <c r="A30" s="213" t="s">
        <v>28</v>
      </c>
      <c r="B30" s="30" t="s">
        <v>135</v>
      </c>
      <c r="C30" s="79" t="s">
        <v>61</v>
      </c>
      <c r="D30" s="198" t="s">
        <v>20</v>
      </c>
      <c r="E30" s="33">
        <f>6767646.19</f>
        <v>6767646.19</v>
      </c>
      <c r="F30" s="34">
        <f>6000000</f>
        <v>6000000</v>
      </c>
      <c r="G30" s="34">
        <f>1150000</f>
        <v>1150000</v>
      </c>
      <c r="H30" s="34">
        <f>1100000</f>
        <v>1100000</v>
      </c>
      <c r="I30" s="34">
        <f>1150000</f>
        <v>1150000</v>
      </c>
      <c r="J30" s="34">
        <f>1100000</f>
        <v>1100000</v>
      </c>
      <c r="K30" s="34">
        <f>800000</f>
        <v>800000</v>
      </c>
      <c r="L30" s="34">
        <f>800000</f>
        <v>800000</v>
      </c>
      <c r="M30" s="34">
        <f>943543</f>
        <v>943543</v>
      </c>
      <c r="N30" s="34">
        <f>1403924</f>
        <v>1403924</v>
      </c>
    </row>
    <row r="31" spans="1:15" ht="15" outlineLevel="1">
      <c r="A31" s="213" t="s">
        <v>28</v>
      </c>
      <c r="B31" s="29">
        <v>3</v>
      </c>
      <c r="C31" s="260" t="s">
        <v>21</v>
      </c>
      <c r="D31" s="197" t="s">
        <v>21</v>
      </c>
      <c r="E31" s="31">
        <f>-4361472.72</f>
        <v>-4361472.72</v>
      </c>
      <c r="F31" s="32">
        <f>-1543247</f>
        <v>-1543247</v>
      </c>
      <c r="G31" s="32">
        <f>2896023</f>
        <v>2896023</v>
      </c>
      <c r="H31" s="32">
        <f>556076</f>
        <v>556076</v>
      </c>
      <c r="I31" s="32">
        <f>537000</f>
        <v>537000</v>
      </c>
      <c r="J31" s="32">
        <f>500000</f>
        <v>500000</v>
      </c>
      <c r="K31" s="32">
        <f>700000</f>
        <v>700000</v>
      </c>
      <c r="L31" s="32">
        <f>700000</f>
        <v>700000</v>
      </c>
      <c r="M31" s="32">
        <f>556457</f>
        <v>556457</v>
      </c>
      <c r="N31" s="32">
        <f>0</f>
        <v>0</v>
      </c>
      <c r="O31" s="27"/>
    </row>
    <row r="32" spans="1:15" ht="15" outlineLevel="1">
      <c r="A32" s="213" t="s">
        <v>28</v>
      </c>
      <c r="B32" s="29">
        <v>4</v>
      </c>
      <c r="C32" s="260" t="s">
        <v>22</v>
      </c>
      <c r="D32" s="197" t="s">
        <v>22</v>
      </c>
      <c r="E32" s="31">
        <f>4950000</f>
        <v>4950000</v>
      </c>
      <c r="F32" s="32">
        <f>4600000</f>
        <v>4600000</v>
      </c>
      <c r="G32" s="32">
        <f>0</f>
        <v>0</v>
      </c>
      <c r="H32" s="32">
        <f>0</f>
        <v>0</v>
      </c>
      <c r="I32" s="32">
        <f>0</f>
        <v>0</v>
      </c>
      <c r="J32" s="32">
        <f>0</f>
        <v>0</v>
      </c>
      <c r="K32" s="32">
        <f>0</f>
        <v>0</v>
      </c>
      <c r="L32" s="32">
        <f>0</f>
        <v>0</v>
      </c>
      <c r="M32" s="32">
        <f>0</f>
        <v>0</v>
      </c>
      <c r="N32" s="32">
        <f>0</f>
        <v>0</v>
      </c>
      <c r="O32" s="27"/>
    </row>
    <row r="33" spans="1:14" ht="14.25" outlineLevel="2">
      <c r="A33" s="213" t="s">
        <v>28</v>
      </c>
      <c r="B33" s="30" t="s">
        <v>136</v>
      </c>
      <c r="C33" s="79" t="s">
        <v>62</v>
      </c>
      <c r="D33" s="198" t="s">
        <v>336</v>
      </c>
      <c r="E33" s="33">
        <f>950000</f>
        <v>950000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  <c r="M33" s="34">
        <f>0</f>
        <v>0</v>
      </c>
      <c r="N33" s="34">
        <f>0</f>
        <v>0</v>
      </c>
    </row>
    <row r="34" spans="1:14" ht="14.25" outlineLevel="3">
      <c r="A34" s="213" t="s">
        <v>28</v>
      </c>
      <c r="B34" s="30" t="s">
        <v>63</v>
      </c>
      <c r="C34" s="79" t="s">
        <v>64</v>
      </c>
      <c r="D34" s="199" t="s">
        <v>458</v>
      </c>
      <c r="E34" s="33">
        <f>950000</f>
        <v>950000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  <c r="M34" s="34">
        <f>0</f>
        <v>0</v>
      </c>
      <c r="N34" s="34">
        <f>0</f>
        <v>0</v>
      </c>
    </row>
    <row r="35" spans="1:14" ht="14.25" outlineLevel="2">
      <c r="A35" s="213" t="s">
        <v>28</v>
      </c>
      <c r="B35" s="30" t="s">
        <v>137</v>
      </c>
      <c r="C35" s="79" t="s">
        <v>65</v>
      </c>
      <c r="D35" s="198" t="s">
        <v>335</v>
      </c>
      <c r="E35" s="33">
        <f>0</f>
        <v>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  <c r="M35" s="34">
        <f>0</f>
        <v>0</v>
      </c>
      <c r="N35" s="34">
        <f>0</f>
        <v>0</v>
      </c>
    </row>
    <row r="36" spans="1:14" ht="14.25" outlineLevel="3">
      <c r="A36" s="213" t="s">
        <v>28</v>
      </c>
      <c r="B36" s="30" t="s">
        <v>66</v>
      </c>
      <c r="C36" s="79" t="s">
        <v>67</v>
      </c>
      <c r="D36" s="199" t="s">
        <v>458</v>
      </c>
      <c r="E36" s="33">
        <f>0</f>
        <v>0</v>
      </c>
      <c r="F36" s="34">
        <f>0</f>
        <v>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  <c r="M36" s="34">
        <f>0</f>
        <v>0</v>
      </c>
      <c r="N36" s="34">
        <f>0</f>
        <v>0</v>
      </c>
    </row>
    <row r="37" spans="1:14" ht="14.25" outlineLevel="2">
      <c r="A37" s="213" t="s">
        <v>28</v>
      </c>
      <c r="B37" s="30" t="s">
        <v>138</v>
      </c>
      <c r="C37" s="79" t="s">
        <v>68</v>
      </c>
      <c r="D37" s="198" t="s">
        <v>459</v>
      </c>
      <c r="E37" s="33">
        <f>3800000</f>
        <v>3800000</v>
      </c>
      <c r="F37" s="34">
        <f>4600000</f>
        <v>4600000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  <c r="M37" s="34">
        <f>0</f>
        <v>0</v>
      </c>
      <c r="N37" s="34">
        <f>0</f>
        <v>0</v>
      </c>
    </row>
    <row r="38" spans="1:14" ht="14.25" outlineLevel="3">
      <c r="A38" s="213" t="s">
        <v>28</v>
      </c>
      <c r="B38" s="30" t="s">
        <v>69</v>
      </c>
      <c r="C38" s="79" t="s">
        <v>67</v>
      </c>
      <c r="D38" s="199" t="s">
        <v>458</v>
      </c>
      <c r="E38" s="33">
        <f>3411472.72</f>
        <v>3411472.72</v>
      </c>
      <c r="F38" s="34">
        <f>1543247</f>
        <v>1543247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  <c r="M38" s="34">
        <f>0</f>
        <v>0</v>
      </c>
      <c r="N38" s="34">
        <f>0</f>
        <v>0</v>
      </c>
    </row>
    <row r="39" spans="1:14" ht="14.25" outlineLevel="2">
      <c r="A39" s="213" t="s">
        <v>28</v>
      </c>
      <c r="B39" s="30" t="s">
        <v>139</v>
      </c>
      <c r="C39" s="79" t="s">
        <v>70</v>
      </c>
      <c r="D39" s="198" t="s">
        <v>70</v>
      </c>
      <c r="E39" s="33">
        <f>200000</f>
        <v>200000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  <c r="M39" s="34">
        <f>0</f>
        <v>0</v>
      </c>
      <c r="N39" s="34">
        <f>0</f>
        <v>0</v>
      </c>
    </row>
    <row r="40" spans="1:14" ht="14.25" outlineLevel="3">
      <c r="A40" s="213" t="s">
        <v>28</v>
      </c>
      <c r="B40" s="30" t="s">
        <v>71</v>
      </c>
      <c r="C40" s="79" t="s">
        <v>67</v>
      </c>
      <c r="D40" s="199" t="s">
        <v>458</v>
      </c>
      <c r="E40" s="33">
        <f>0</f>
        <v>0</v>
      </c>
      <c r="F40" s="34">
        <f>0</f>
        <v>0</v>
      </c>
      <c r="G40" s="34">
        <f>0</f>
        <v>0</v>
      </c>
      <c r="H40" s="34">
        <f>0</f>
        <v>0</v>
      </c>
      <c r="I40" s="34">
        <f>0</f>
        <v>0</v>
      </c>
      <c r="J40" s="34">
        <f>0</f>
        <v>0</v>
      </c>
      <c r="K40" s="34">
        <f>0</f>
        <v>0</v>
      </c>
      <c r="L40" s="34">
        <f>0</f>
        <v>0</v>
      </c>
      <c r="M40" s="34">
        <f>0</f>
        <v>0</v>
      </c>
      <c r="N40" s="34">
        <f>0</f>
        <v>0</v>
      </c>
    </row>
    <row r="41" spans="1:15" ht="15" outlineLevel="1">
      <c r="A41" s="213" t="s">
        <v>28</v>
      </c>
      <c r="B41" s="29">
        <v>5</v>
      </c>
      <c r="C41" s="260" t="s">
        <v>72</v>
      </c>
      <c r="D41" s="197" t="s">
        <v>72</v>
      </c>
      <c r="E41" s="31">
        <f>588527.28</f>
        <v>588527.28</v>
      </c>
      <c r="F41" s="32">
        <f>3056753</f>
        <v>3056753</v>
      </c>
      <c r="G41" s="32">
        <f>2896023</f>
        <v>2896023</v>
      </c>
      <c r="H41" s="32">
        <f>556076</f>
        <v>556076</v>
      </c>
      <c r="I41" s="32">
        <f>537000</f>
        <v>537000</v>
      </c>
      <c r="J41" s="32">
        <f>500000</f>
        <v>500000</v>
      </c>
      <c r="K41" s="32">
        <f>700000</f>
        <v>700000</v>
      </c>
      <c r="L41" s="32">
        <f>700000</f>
        <v>700000</v>
      </c>
      <c r="M41" s="32">
        <f>556457</f>
        <v>556457</v>
      </c>
      <c r="N41" s="32">
        <f>0</f>
        <v>0</v>
      </c>
      <c r="O41" s="27"/>
    </row>
    <row r="42" spans="1:14" ht="14.25" outlineLevel="2">
      <c r="A42" s="213" t="s">
        <v>28</v>
      </c>
      <c r="B42" s="30" t="s">
        <v>140</v>
      </c>
      <c r="C42" s="79" t="s">
        <v>73</v>
      </c>
      <c r="D42" s="198" t="s">
        <v>457</v>
      </c>
      <c r="E42" s="33">
        <f>388527.28</f>
        <v>388527.28</v>
      </c>
      <c r="F42" s="34">
        <f>3056753</f>
        <v>3056753</v>
      </c>
      <c r="G42" s="34">
        <f>2896023</f>
        <v>2896023</v>
      </c>
      <c r="H42" s="34">
        <f>556076</f>
        <v>556076</v>
      </c>
      <c r="I42" s="34">
        <f>537000</f>
        <v>537000</v>
      </c>
      <c r="J42" s="34">
        <f>500000</f>
        <v>500000</v>
      </c>
      <c r="K42" s="34">
        <f>700000</f>
        <v>700000</v>
      </c>
      <c r="L42" s="34">
        <f>700000</f>
        <v>700000</v>
      </c>
      <c r="M42" s="34">
        <f>556457</f>
        <v>556457</v>
      </c>
      <c r="N42" s="34">
        <f>0</f>
        <v>0</v>
      </c>
    </row>
    <row r="43" spans="1:14" ht="24" outlineLevel="3">
      <c r="A43" s="213" t="s">
        <v>28</v>
      </c>
      <c r="B43" s="30" t="s">
        <v>74</v>
      </c>
      <c r="C43" s="79" t="s">
        <v>350</v>
      </c>
      <c r="D43" s="199" t="s">
        <v>456</v>
      </c>
      <c r="E43" s="33">
        <f>0</f>
        <v>0</v>
      </c>
      <c r="F43" s="34">
        <f>2731444</f>
        <v>2731444</v>
      </c>
      <c r="G43" s="34">
        <f>2416023</f>
        <v>2416023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  <c r="M43" s="34">
        <f>0</f>
        <v>0</v>
      </c>
      <c r="N43" s="34">
        <f>0</f>
        <v>0</v>
      </c>
    </row>
    <row r="44" spans="1:14" ht="14.25" outlineLevel="4">
      <c r="A44" s="213" t="s">
        <v>28</v>
      </c>
      <c r="B44" s="30" t="s">
        <v>75</v>
      </c>
      <c r="C44" s="79" t="s">
        <v>351</v>
      </c>
      <c r="D44" s="200" t="s">
        <v>455</v>
      </c>
      <c r="E44" s="33">
        <f>0</f>
        <v>0</v>
      </c>
      <c r="F44" s="34">
        <f>2731444</f>
        <v>2731444</v>
      </c>
      <c r="G44" s="34">
        <f>2416023</f>
        <v>2416023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  <c r="M44" s="34">
        <f>0</f>
        <v>0</v>
      </c>
      <c r="N44" s="34">
        <f>0</f>
        <v>0</v>
      </c>
    </row>
    <row r="45" spans="1:14" s="237" customFormat="1" ht="14.25" outlineLevel="4">
      <c r="A45" s="243" t="s">
        <v>28</v>
      </c>
      <c r="B45" s="30" t="s">
        <v>352</v>
      </c>
      <c r="C45" s="79" t="s">
        <v>353</v>
      </c>
      <c r="D45" s="200" t="s">
        <v>454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  <c r="M45" s="34">
        <f>0</f>
        <v>0</v>
      </c>
      <c r="N45" s="34">
        <f>0</f>
        <v>0</v>
      </c>
    </row>
    <row r="46" spans="1:14" s="237" customFormat="1" ht="14.25" outlineLevel="4">
      <c r="A46" s="243" t="s">
        <v>28</v>
      </c>
      <c r="B46" s="30" t="s">
        <v>354</v>
      </c>
      <c r="C46" s="79" t="s">
        <v>355</v>
      </c>
      <c r="D46" s="200" t="s">
        <v>453</v>
      </c>
      <c r="E46" s="33">
        <f>0</f>
        <v>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  <c r="M46" s="34">
        <f>0</f>
        <v>0</v>
      </c>
      <c r="N46" s="34">
        <f>0</f>
        <v>0</v>
      </c>
    </row>
    <row r="47" spans="2:14" ht="14.25" outlineLevel="2">
      <c r="B47" s="30" t="s">
        <v>141</v>
      </c>
      <c r="C47" s="79" t="s">
        <v>76</v>
      </c>
      <c r="D47" s="198" t="s">
        <v>76</v>
      </c>
      <c r="E47" s="33">
        <f>200000</f>
        <v>200000</v>
      </c>
      <c r="F47" s="34">
        <f>0</f>
        <v>0</v>
      </c>
      <c r="G47" s="34">
        <f>0</f>
        <v>0</v>
      </c>
      <c r="H47" s="34">
        <f>0</f>
        <v>0</v>
      </c>
      <c r="I47" s="34">
        <f>0</f>
        <v>0</v>
      </c>
      <c r="J47" s="34">
        <f>0</f>
        <v>0</v>
      </c>
      <c r="K47" s="34">
        <f>0</f>
        <v>0</v>
      </c>
      <c r="L47" s="34">
        <f>0</f>
        <v>0</v>
      </c>
      <c r="M47" s="34">
        <f>0</f>
        <v>0</v>
      </c>
      <c r="N47" s="34">
        <f>0</f>
        <v>0</v>
      </c>
    </row>
    <row r="48" spans="1:15" ht="15" outlineLevel="1">
      <c r="A48" s="213" t="s">
        <v>28</v>
      </c>
      <c r="B48" s="29">
        <v>6</v>
      </c>
      <c r="C48" s="260" t="s">
        <v>25</v>
      </c>
      <c r="D48" s="197" t="s">
        <v>25</v>
      </c>
      <c r="E48" s="31">
        <f>4902309</f>
        <v>4902309</v>
      </c>
      <c r="F48" s="32">
        <f>6445556</f>
        <v>6445556</v>
      </c>
      <c r="G48" s="32">
        <f>3549533</f>
        <v>3549533</v>
      </c>
      <c r="H48" s="32">
        <f>2993457</f>
        <v>2993457</v>
      </c>
      <c r="I48" s="32">
        <f>2456457</f>
        <v>2456457</v>
      </c>
      <c r="J48" s="32">
        <f>1956457</f>
        <v>1956457</v>
      </c>
      <c r="K48" s="32">
        <f>1256457</f>
        <v>1256457</v>
      </c>
      <c r="L48" s="32">
        <f>556457</f>
        <v>556457</v>
      </c>
      <c r="M48" s="32">
        <f>0</f>
        <v>0</v>
      </c>
      <c r="N48" s="32">
        <f>0</f>
        <v>0</v>
      </c>
      <c r="O48" s="27"/>
    </row>
    <row r="49" spans="2:15" ht="24" outlineLevel="1">
      <c r="B49" s="29">
        <v>7</v>
      </c>
      <c r="C49" s="260" t="s">
        <v>77</v>
      </c>
      <c r="D49" s="197" t="s">
        <v>77</v>
      </c>
      <c r="E49" s="31">
        <f>0</f>
        <v>0</v>
      </c>
      <c r="F49" s="32">
        <f>0</f>
        <v>0</v>
      </c>
      <c r="G49" s="32">
        <f>0</f>
        <v>0</v>
      </c>
      <c r="H49" s="32">
        <f>0</f>
        <v>0</v>
      </c>
      <c r="I49" s="32">
        <f>0</f>
        <v>0</v>
      </c>
      <c r="J49" s="32">
        <f>0</f>
        <v>0</v>
      </c>
      <c r="K49" s="32">
        <f>0</f>
        <v>0</v>
      </c>
      <c r="L49" s="32">
        <f>0</f>
        <v>0</v>
      </c>
      <c r="M49" s="32">
        <f>0</f>
        <v>0</v>
      </c>
      <c r="N49" s="32">
        <f>0</f>
        <v>0</v>
      </c>
      <c r="O49" s="27"/>
    </row>
    <row r="50" spans="2:15" ht="15" outlineLevel="1">
      <c r="B50" s="29">
        <v>8</v>
      </c>
      <c r="C50" s="260" t="s">
        <v>142</v>
      </c>
      <c r="D50" s="197" t="s">
        <v>142</v>
      </c>
      <c r="E50" s="39" t="s">
        <v>28</v>
      </c>
      <c r="F50" s="40" t="s">
        <v>28</v>
      </c>
      <c r="G50" s="40" t="s">
        <v>28</v>
      </c>
      <c r="H50" s="40" t="s">
        <v>28</v>
      </c>
      <c r="I50" s="40" t="s">
        <v>28</v>
      </c>
      <c r="J50" s="40" t="s">
        <v>28</v>
      </c>
      <c r="K50" s="40" t="s">
        <v>28</v>
      </c>
      <c r="L50" s="40" t="s">
        <v>28</v>
      </c>
      <c r="M50" s="40" t="s">
        <v>28</v>
      </c>
      <c r="N50" s="40" t="s">
        <v>28</v>
      </c>
      <c r="O50" s="27"/>
    </row>
    <row r="51" spans="2:14" ht="14.25" outlineLevel="2">
      <c r="B51" s="30" t="s">
        <v>143</v>
      </c>
      <c r="C51" s="79" t="s">
        <v>78</v>
      </c>
      <c r="D51" s="198" t="s">
        <v>452</v>
      </c>
      <c r="E51" s="33">
        <f>2163923.47</f>
        <v>2163923.47</v>
      </c>
      <c r="F51" s="34">
        <f>1725309</f>
        <v>1725309</v>
      </c>
      <c r="G51" s="34">
        <f>1630000</f>
        <v>1630000</v>
      </c>
      <c r="H51" s="34">
        <f>1656076</f>
        <v>1656076</v>
      </c>
      <c r="I51" s="34">
        <f>1687000</f>
        <v>1687000</v>
      </c>
      <c r="J51" s="34">
        <f>1600000</f>
        <v>1600000</v>
      </c>
      <c r="K51" s="34">
        <f aca="true" t="shared" si="7" ref="K51:M52">1500000</f>
        <v>1500000</v>
      </c>
      <c r="L51" s="34">
        <f t="shared" si="7"/>
        <v>1500000</v>
      </c>
      <c r="M51" s="34">
        <f t="shared" si="7"/>
        <v>1500000</v>
      </c>
      <c r="N51" s="34">
        <f>1403924</f>
        <v>1403924</v>
      </c>
    </row>
    <row r="52" spans="2:14" ht="24" outlineLevel="2">
      <c r="B52" s="30" t="s">
        <v>144</v>
      </c>
      <c r="C52" s="79" t="s">
        <v>358</v>
      </c>
      <c r="D52" s="198" t="s">
        <v>451</v>
      </c>
      <c r="E52" s="33">
        <f>3113923.47</f>
        <v>3113923.47</v>
      </c>
      <c r="F52" s="34">
        <f>1725309</f>
        <v>1725309</v>
      </c>
      <c r="G52" s="34">
        <f>1630000</f>
        <v>1630000</v>
      </c>
      <c r="H52" s="34">
        <f>1656076</f>
        <v>1656076</v>
      </c>
      <c r="I52" s="34">
        <f>1687000</f>
        <v>1687000</v>
      </c>
      <c r="J52" s="34">
        <f>1600000</f>
        <v>1600000</v>
      </c>
      <c r="K52" s="34">
        <f t="shared" si="7"/>
        <v>1500000</v>
      </c>
      <c r="L52" s="34">
        <f t="shared" si="7"/>
        <v>1500000</v>
      </c>
      <c r="M52" s="34">
        <f t="shared" si="7"/>
        <v>1500000</v>
      </c>
      <c r="N52" s="34">
        <f>1403924</f>
        <v>1403924</v>
      </c>
    </row>
    <row r="53" spans="1:15" ht="15" outlineLevel="1">
      <c r="A53" s="213" t="s">
        <v>28</v>
      </c>
      <c r="B53" s="29">
        <v>9</v>
      </c>
      <c r="C53" s="260" t="s">
        <v>145</v>
      </c>
      <c r="D53" s="197" t="s">
        <v>145</v>
      </c>
      <c r="E53" s="39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40" t="s">
        <v>28</v>
      </c>
      <c r="L53" s="40" t="s">
        <v>28</v>
      </c>
      <c r="M53" s="40" t="s">
        <v>28</v>
      </c>
      <c r="N53" s="40" t="s">
        <v>28</v>
      </c>
      <c r="O53" s="27"/>
    </row>
    <row r="54" spans="1:14" ht="36" outlineLevel="2">
      <c r="A54" s="213" t="s">
        <v>28</v>
      </c>
      <c r="B54" s="30" t="s">
        <v>146</v>
      </c>
      <c r="C54" s="79" t="s">
        <v>411</v>
      </c>
      <c r="D54" s="198" t="s">
        <v>418</v>
      </c>
      <c r="E54" s="37">
        <f>0.0158</f>
        <v>0.0158</v>
      </c>
      <c r="F54" s="38">
        <f>0.0923</f>
        <v>0.0923</v>
      </c>
      <c r="G54" s="38">
        <f>0.0876</f>
        <v>0.0876</v>
      </c>
      <c r="H54" s="38">
        <f>0.0263</f>
        <v>0.0263</v>
      </c>
      <c r="I54" s="38">
        <f>0.0234</f>
        <v>0.0234</v>
      </c>
      <c r="J54" s="38">
        <f>0.0208</f>
        <v>0.0208</v>
      </c>
      <c r="K54" s="38">
        <f>0.0238</f>
        <v>0.0238</v>
      </c>
      <c r="L54" s="38">
        <f>0.0225</f>
        <v>0.0225</v>
      </c>
      <c r="M54" s="38">
        <f>0.0169</f>
        <v>0.0169</v>
      </c>
      <c r="N54" s="38">
        <f>0</f>
        <v>0</v>
      </c>
    </row>
    <row r="55" spans="1:14" ht="36" outlineLevel="2">
      <c r="A55" s="213" t="s">
        <v>28</v>
      </c>
      <c r="B55" s="30" t="s">
        <v>147</v>
      </c>
      <c r="C55" s="79" t="s">
        <v>412</v>
      </c>
      <c r="D55" s="198" t="s">
        <v>419</v>
      </c>
      <c r="E55" s="37">
        <f>0.0158</f>
        <v>0.0158</v>
      </c>
      <c r="F55" s="38">
        <f>0.0204</f>
        <v>0.0204</v>
      </c>
      <c r="G55" s="38">
        <f>0.0242</f>
        <v>0.0242</v>
      </c>
      <c r="H55" s="38">
        <f>0.0263</f>
        <v>0.0263</v>
      </c>
      <c r="I55" s="38">
        <f>0.0234</f>
        <v>0.0234</v>
      </c>
      <c r="J55" s="38">
        <f>0.0208</f>
        <v>0.0208</v>
      </c>
      <c r="K55" s="38">
        <f>0.0238</f>
        <v>0.0238</v>
      </c>
      <c r="L55" s="38">
        <f>0.0225</f>
        <v>0.0225</v>
      </c>
      <c r="M55" s="38">
        <f>0.0169</f>
        <v>0.0169</v>
      </c>
      <c r="N55" s="38">
        <f>0</f>
        <v>0</v>
      </c>
    </row>
    <row r="56" spans="1:14" ht="24" outlineLevel="2">
      <c r="A56" s="213" t="s">
        <v>28</v>
      </c>
      <c r="B56" s="30" t="s">
        <v>148</v>
      </c>
      <c r="C56" s="79" t="s">
        <v>363</v>
      </c>
      <c r="D56" s="198" t="s">
        <v>420</v>
      </c>
      <c r="E56" s="33">
        <f>3113</f>
        <v>3113</v>
      </c>
      <c r="F56" s="34">
        <f>3027</f>
        <v>3027</v>
      </c>
      <c r="G56" s="34">
        <f>2193</f>
        <v>2193</v>
      </c>
      <c r="H56" s="34">
        <f>0</f>
        <v>0</v>
      </c>
      <c r="I56" s="34">
        <f>0</f>
        <v>0</v>
      </c>
      <c r="J56" s="34">
        <f>0</f>
        <v>0</v>
      </c>
      <c r="K56" s="34">
        <f>0</f>
        <v>0</v>
      </c>
      <c r="L56" s="34">
        <f>0</f>
        <v>0</v>
      </c>
      <c r="M56" s="34">
        <f>0</f>
        <v>0</v>
      </c>
      <c r="N56" s="34">
        <f>0</f>
        <v>0</v>
      </c>
    </row>
    <row r="57" spans="1:14" ht="36" outlineLevel="2">
      <c r="A57" s="213" t="s">
        <v>28</v>
      </c>
      <c r="B57" s="30" t="s">
        <v>149</v>
      </c>
      <c r="C57" s="79" t="s">
        <v>413</v>
      </c>
      <c r="D57" s="198" t="s">
        <v>421</v>
      </c>
      <c r="E57" s="37">
        <f>0.0158</f>
        <v>0.0158</v>
      </c>
      <c r="F57" s="38">
        <f>0.0205</f>
        <v>0.0205</v>
      </c>
      <c r="G57" s="38">
        <f>0.0243</f>
        <v>0.0243</v>
      </c>
      <c r="H57" s="38">
        <f>0.0263</f>
        <v>0.0263</v>
      </c>
      <c r="I57" s="38">
        <f>0.0234</f>
        <v>0.0234</v>
      </c>
      <c r="J57" s="38">
        <f>0.0208</f>
        <v>0.0208</v>
      </c>
      <c r="K57" s="38">
        <f>0.0238</f>
        <v>0.0238</v>
      </c>
      <c r="L57" s="38">
        <f>0.0225</f>
        <v>0.0225</v>
      </c>
      <c r="M57" s="38">
        <f>0.0169</f>
        <v>0.0169</v>
      </c>
      <c r="N57" s="38">
        <f>0</f>
        <v>0</v>
      </c>
    </row>
    <row r="58" spans="1:15" ht="24" outlineLevel="2">
      <c r="A58" s="213" t="s">
        <v>28</v>
      </c>
      <c r="B58" s="78" t="s">
        <v>150</v>
      </c>
      <c r="C58" s="79" t="s">
        <v>367</v>
      </c>
      <c r="D58" s="266" t="s">
        <v>417</v>
      </c>
      <c r="E58" s="37">
        <f aca="true" t="shared" si="8" ref="E58:N58">+IF(AND(E9&gt;=2013,E9&lt;=2018),IF(E10&lt;&gt;0,(E11+E19-E22+E25)/E10,0),IF(E10&lt;&gt;0,(E11+E19-E22)/E10,0))</f>
        <v>0.060636390513240365</v>
      </c>
      <c r="F58" s="38">
        <f t="shared" si="8"/>
        <v>0.04542891951539895</v>
      </c>
      <c r="G58" s="38">
        <f t="shared" si="8"/>
        <v>0.042798160540311284</v>
      </c>
      <c r="H58" s="38">
        <f t="shared" si="8"/>
        <v>0.04587752559286085</v>
      </c>
      <c r="I58" s="38">
        <f t="shared" si="8"/>
        <v>0.046271455953441315</v>
      </c>
      <c r="J58" s="38">
        <f t="shared" si="8"/>
        <v>0.043885198296091346</v>
      </c>
      <c r="K58" s="38">
        <f t="shared" si="8"/>
        <v>0.04114237340258564</v>
      </c>
      <c r="L58" s="38">
        <f t="shared" si="8"/>
        <v>0.04114237340258564</v>
      </c>
      <c r="M58" s="38">
        <f t="shared" si="8"/>
        <v>0.04114237340258564</v>
      </c>
      <c r="N58" s="38">
        <f t="shared" si="8"/>
        <v>0.038507176957901096</v>
      </c>
      <c r="O58" s="45"/>
    </row>
    <row r="59" spans="1:15" ht="36" outlineLevel="2">
      <c r="A59" s="213" t="s">
        <v>28</v>
      </c>
      <c r="B59" s="30" t="s">
        <v>151</v>
      </c>
      <c r="C59" s="79" t="s">
        <v>409</v>
      </c>
      <c r="D59" s="198" t="s">
        <v>422</v>
      </c>
      <c r="E59" s="37">
        <f>0.1178</f>
        <v>0.1178</v>
      </c>
      <c r="F59" s="38">
        <f>0.093</f>
        <v>0.093</v>
      </c>
      <c r="G59" s="38">
        <f>0.0561</f>
        <v>0.0561</v>
      </c>
      <c r="H59" s="38">
        <f>0.0496</f>
        <v>0.0496</v>
      </c>
      <c r="I59" s="38">
        <f>0.0447</f>
        <v>0.0447</v>
      </c>
      <c r="J59" s="38">
        <f>0.045</f>
        <v>0.045</v>
      </c>
      <c r="K59" s="38">
        <f>0.0454</f>
        <v>0.0454</v>
      </c>
      <c r="L59" s="38">
        <f>0.0438</f>
        <v>0.0438</v>
      </c>
      <c r="M59" s="38">
        <f>0.042</f>
        <v>0.042</v>
      </c>
      <c r="N59" s="38">
        <f>0.0411</f>
        <v>0.0411</v>
      </c>
      <c r="O59" s="45"/>
    </row>
    <row r="60" spans="1:14" ht="36" outlineLevel="3">
      <c r="A60" s="213" t="s">
        <v>28</v>
      </c>
      <c r="B60" s="30" t="s">
        <v>79</v>
      </c>
      <c r="C60" s="79" t="s">
        <v>410</v>
      </c>
      <c r="D60" s="199" t="s">
        <v>423</v>
      </c>
      <c r="E60" s="37">
        <f>0.1413</f>
        <v>0.1413</v>
      </c>
      <c r="F60" s="38">
        <f>0.1166</f>
        <v>0.1166</v>
      </c>
      <c r="G60" s="38">
        <f>0.0797</f>
        <v>0.0797</v>
      </c>
      <c r="H60" s="38">
        <f>0.0496</f>
        <v>0.0496</v>
      </c>
      <c r="I60" s="38">
        <f>0.0447</f>
        <v>0.0447</v>
      </c>
      <c r="J60" s="38">
        <f>0.045</f>
        <v>0.045</v>
      </c>
      <c r="K60" s="38">
        <f>0.0454</f>
        <v>0.0454</v>
      </c>
      <c r="L60" s="38">
        <f>0.0438</f>
        <v>0.0438</v>
      </c>
      <c r="M60" s="38">
        <f>0.042</f>
        <v>0.042</v>
      </c>
      <c r="N60" s="38">
        <f>0.0411</f>
        <v>0.0411</v>
      </c>
    </row>
    <row r="61" spans="1:14" ht="36" outlineLevel="2">
      <c r="A61" s="213" t="s">
        <v>28</v>
      </c>
      <c r="B61" s="30" t="s">
        <v>152</v>
      </c>
      <c r="C61" s="79" t="s">
        <v>372</v>
      </c>
      <c r="D61" s="198" t="s">
        <v>450</v>
      </c>
      <c r="E61" s="147" t="str">
        <f>IF(E57&lt;=E59,"Spełniona","Nie spełniona")</f>
        <v>Spełniona</v>
      </c>
      <c r="F61" s="148" t="str">
        <f aca="true" t="shared" si="9" ref="F61:N61">IF(F57&lt;=F59,"Spełniona","Nie spełniona")</f>
        <v>Spełniona</v>
      </c>
      <c r="G61" s="148" t="str">
        <f t="shared" si="9"/>
        <v>Spełniona</v>
      </c>
      <c r="H61" s="148" t="str">
        <f t="shared" si="9"/>
        <v>Spełniona</v>
      </c>
      <c r="I61" s="148" t="str">
        <f t="shared" si="9"/>
        <v>Spełniona</v>
      </c>
      <c r="J61" s="148" t="str">
        <f t="shared" si="9"/>
        <v>Spełniona</v>
      </c>
      <c r="K61" s="148" t="str">
        <f t="shared" si="9"/>
        <v>Spełniona</v>
      </c>
      <c r="L61" s="148" t="str">
        <f t="shared" si="9"/>
        <v>Spełniona</v>
      </c>
      <c r="M61" s="148" t="str">
        <f t="shared" si="9"/>
        <v>Spełniona</v>
      </c>
      <c r="N61" s="148" t="str">
        <f t="shared" si="9"/>
        <v>Spełniona</v>
      </c>
    </row>
    <row r="62" spans="1:14" ht="36" outlineLevel="3">
      <c r="A62" s="213" t="s">
        <v>28</v>
      </c>
      <c r="B62" s="30" t="s">
        <v>80</v>
      </c>
      <c r="C62" s="79" t="s">
        <v>374</v>
      </c>
      <c r="D62" s="199" t="s">
        <v>424</v>
      </c>
      <c r="E62" s="147" t="str">
        <f>IF(E57&lt;=E60,"Spełniona","Nie spełniona")</f>
        <v>Spełniona</v>
      </c>
      <c r="F62" s="148" t="str">
        <f aca="true" t="shared" si="10" ref="F62:N62">IF(F57&lt;=F60,"Spełniona","Nie spełniona")</f>
        <v>Spełniona</v>
      </c>
      <c r="G62" s="148" t="str">
        <f t="shared" si="10"/>
        <v>Spełniona</v>
      </c>
      <c r="H62" s="148" t="str">
        <f t="shared" si="10"/>
        <v>Spełniona</v>
      </c>
      <c r="I62" s="148" t="str">
        <f t="shared" si="10"/>
        <v>Spełniona</v>
      </c>
      <c r="J62" s="148" t="str">
        <f t="shared" si="10"/>
        <v>Spełniona</v>
      </c>
      <c r="K62" s="148" t="str">
        <f t="shared" si="10"/>
        <v>Spełniona</v>
      </c>
      <c r="L62" s="148" t="str">
        <f t="shared" si="10"/>
        <v>Spełniona</v>
      </c>
      <c r="M62" s="148" t="str">
        <f t="shared" si="10"/>
        <v>Spełniona</v>
      </c>
      <c r="N62" s="148" t="str">
        <f t="shared" si="10"/>
        <v>Spełniona</v>
      </c>
    </row>
    <row r="63" spans="2:15" ht="15" outlineLevel="1">
      <c r="B63" s="29">
        <v>10</v>
      </c>
      <c r="C63" s="260" t="s">
        <v>81</v>
      </c>
      <c r="D63" s="197" t="s">
        <v>81</v>
      </c>
      <c r="E63" s="31">
        <f>0</f>
        <v>0</v>
      </c>
      <c r="F63" s="32">
        <f>0</f>
        <v>0</v>
      </c>
      <c r="G63" s="32">
        <f>2896023</f>
        <v>2896023</v>
      </c>
      <c r="H63" s="32">
        <f>556076</f>
        <v>556076</v>
      </c>
      <c r="I63" s="32">
        <f>537000</f>
        <v>537000</v>
      </c>
      <c r="J63" s="32">
        <f>500000</f>
        <v>500000</v>
      </c>
      <c r="K63" s="32">
        <f>700000</f>
        <v>700000</v>
      </c>
      <c r="L63" s="32">
        <f>700000</f>
        <v>700000</v>
      </c>
      <c r="M63" s="32">
        <f>556457</f>
        <v>556457</v>
      </c>
      <c r="N63" s="32">
        <f>0</f>
        <v>0</v>
      </c>
      <c r="O63" s="27"/>
    </row>
    <row r="64" spans="2:14" ht="14.25" outlineLevel="2">
      <c r="B64" s="30" t="s">
        <v>153</v>
      </c>
      <c r="C64" s="79" t="s">
        <v>82</v>
      </c>
      <c r="D64" s="198" t="s">
        <v>183</v>
      </c>
      <c r="E64" s="33">
        <f>0</f>
        <v>0</v>
      </c>
      <c r="F64" s="34">
        <f>0</f>
        <v>0</v>
      </c>
      <c r="G64" s="34">
        <f>2896023</f>
        <v>2896023</v>
      </c>
      <c r="H64" s="34">
        <f>556076</f>
        <v>556076</v>
      </c>
      <c r="I64" s="34">
        <f>537000</f>
        <v>537000</v>
      </c>
      <c r="J64" s="34">
        <f>500000</f>
        <v>500000</v>
      </c>
      <c r="K64" s="34">
        <f>700000</f>
        <v>700000</v>
      </c>
      <c r="L64" s="34">
        <f>700000</f>
        <v>700000</v>
      </c>
      <c r="M64" s="34">
        <f>556457</f>
        <v>556457</v>
      </c>
      <c r="N64" s="34">
        <f>0</f>
        <v>0</v>
      </c>
    </row>
    <row r="65" spans="2:15" ht="15" outlineLevel="1">
      <c r="B65" s="29">
        <v>11</v>
      </c>
      <c r="C65" s="260" t="s">
        <v>83</v>
      </c>
      <c r="D65" s="197" t="s">
        <v>83</v>
      </c>
      <c r="E65" s="39" t="s">
        <v>28</v>
      </c>
      <c r="F65" s="40" t="s">
        <v>28</v>
      </c>
      <c r="G65" s="40" t="s">
        <v>28</v>
      </c>
      <c r="H65" s="40" t="s">
        <v>28</v>
      </c>
      <c r="I65" s="40" t="s">
        <v>28</v>
      </c>
      <c r="J65" s="40" t="s">
        <v>28</v>
      </c>
      <c r="K65" s="40" t="s">
        <v>28</v>
      </c>
      <c r="L65" s="40" t="s">
        <v>28</v>
      </c>
      <c r="M65" s="40" t="s">
        <v>28</v>
      </c>
      <c r="N65" s="40" t="s">
        <v>28</v>
      </c>
      <c r="O65" s="27"/>
    </row>
    <row r="66" spans="2:14" ht="14.25" outlineLevel="2">
      <c r="B66" s="30" t="s">
        <v>154</v>
      </c>
      <c r="C66" s="79" t="s">
        <v>84</v>
      </c>
      <c r="D66" s="198" t="s">
        <v>184</v>
      </c>
      <c r="E66" s="33">
        <f>13314225.92</f>
        <v>13314225.92</v>
      </c>
      <c r="F66" s="34">
        <f>13200000</f>
        <v>13200000</v>
      </c>
      <c r="G66" s="34">
        <f>13300000</f>
        <v>13300000</v>
      </c>
      <c r="H66" s="34">
        <f>13400000</f>
        <v>13400000</v>
      </c>
      <c r="I66" s="34">
        <f>13500000</f>
        <v>13500000</v>
      </c>
      <c r="J66" s="34">
        <f>13600000</f>
        <v>13600000</v>
      </c>
      <c r="K66" s="34">
        <f>13700000</f>
        <v>13700000</v>
      </c>
      <c r="L66" s="34">
        <f>13700000</f>
        <v>13700000</v>
      </c>
      <c r="M66" s="34">
        <f>13700000</f>
        <v>13700000</v>
      </c>
      <c r="N66" s="34">
        <f>13700000</f>
        <v>13700000</v>
      </c>
    </row>
    <row r="67" spans="2:14" ht="14.25" outlineLevel="2">
      <c r="B67" s="30" t="s">
        <v>155</v>
      </c>
      <c r="C67" s="79" t="s">
        <v>85</v>
      </c>
      <c r="D67" s="198" t="s">
        <v>185</v>
      </c>
      <c r="E67" s="33">
        <f>3631363</f>
        <v>3631363</v>
      </c>
      <c r="F67" s="34">
        <f>3510000</f>
        <v>3510000</v>
      </c>
      <c r="G67" s="34">
        <f>3520000</f>
        <v>3520000</v>
      </c>
      <c r="H67" s="34">
        <f>3530000</f>
        <v>3530000</v>
      </c>
      <c r="I67" s="34">
        <f>3540000</f>
        <v>3540000</v>
      </c>
      <c r="J67" s="34">
        <f>3550000</f>
        <v>3550000</v>
      </c>
      <c r="K67" s="34">
        <f>3560000</f>
        <v>3560000</v>
      </c>
      <c r="L67" s="34">
        <f>3560000</f>
        <v>3560000</v>
      </c>
      <c r="M67" s="34">
        <f>3560000</f>
        <v>3560000</v>
      </c>
      <c r="N67" s="34">
        <f>3560000</f>
        <v>3560000</v>
      </c>
    </row>
    <row r="68" spans="2:14" ht="14.25" outlineLevel="2">
      <c r="B68" s="30" t="s">
        <v>156</v>
      </c>
      <c r="C68" s="79" t="s">
        <v>376</v>
      </c>
      <c r="D68" s="198" t="s">
        <v>449</v>
      </c>
      <c r="E68" s="33">
        <f>5524534</f>
        <v>5524534</v>
      </c>
      <c r="F68" s="34">
        <f>4649405.25</f>
        <v>4649405.25</v>
      </c>
      <c r="G68" s="34">
        <f>1375</f>
        <v>1375</v>
      </c>
      <c r="H68" s="34">
        <f>1375</f>
        <v>1375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  <c r="M68" s="34">
        <f>0</f>
        <v>0</v>
      </c>
      <c r="N68" s="34">
        <f>0</f>
        <v>0</v>
      </c>
    </row>
    <row r="69" spans="2:14" ht="14.25" outlineLevel="3">
      <c r="B69" s="30" t="s">
        <v>86</v>
      </c>
      <c r="C69" s="79" t="s">
        <v>407</v>
      </c>
      <c r="D69" s="199" t="s">
        <v>186</v>
      </c>
      <c r="E69" s="33">
        <f>348864</f>
        <v>348864</v>
      </c>
      <c r="F69" s="34">
        <f>95572.25</f>
        <v>95572.25</v>
      </c>
      <c r="G69" s="34">
        <f>1375</f>
        <v>1375</v>
      </c>
      <c r="H69" s="34">
        <f>1375</f>
        <v>1375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  <c r="M69" s="34">
        <f>0</f>
        <v>0</v>
      </c>
      <c r="N69" s="34">
        <f>0</f>
        <v>0</v>
      </c>
    </row>
    <row r="70" spans="2:14" ht="14.25" outlineLevel="3">
      <c r="B70" s="30" t="s">
        <v>88</v>
      </c>
      <c r="C70" s="79" t="s">
        <v>408</v>
      </c>
      <c r="D70" s="199" t="s">
        <v>187</v>
      </c>
      <c r="E70" s="33">
        <f>5175670</f>
        <v>5175670</v>
      </c>
      <c r="F70" s="34">
        <f>4553833</f>
        <v>4553833</v>
      </c>
      <c r="G70" s="34">
        <f>0</f>
        <v>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  <c r="M70" s="34">
        <f>0</f>
        <v>0</v>
      </c>
      <c r="N70" s="34">
        <f>0</f>
        <v>0</v>
      </c>
    </row>
    <row r="71" spans="2:14" ht="14.25" outlineLevel="2">
      <c r="B71" s="30" t="s">
        <v>157</v>
      </c>
      <c r="C71" s="79" t="s">
        <v>90</v>
      </c>
      <c r="D71" s="198" t="s">
        <v>188</v>
      </c>
      <c r="E71" s="33">
        <f>5188000</f>
        <v>5188000</v>
      </c>
      <c r="F71" s="34">
        <f>1700000</f>
        <v>1700000</v>
      </c>
      <c r="G71" s="34">
        <f>0</f>
        <v>0</v>
      </c>
      <c r="H71" s="34">
        <f>0</f>
        <v>0</v>
      </c>
      <c r="I71" s="34">
        <f>0</f>
        <v>0</v>
      </c>
      <c r="J71" s="34">
        <f>0</f>
        <v>0</v>
      </c>
      <c r="K71" s="34">
        <f>0</f>
        <v>0</v>
      </c>
      <c r="L71" s="34">
        <f>0</f>
        <v>0</v>
      </c>
      <c r="M71" s="34">
        <f>0</f>
        <v>0</v>
      </c>
      <c r="N71" s="34">
        <f>0</f>
        <v>0</v>
      </c>
    </row>
    <row r="72" spans="2:14" ht="14.25" outlineLevel="2">
      <c r="B72" s="30" t="s">
        <v>158</v>
      </c>
      <c r="C72" s="79" t="s">
        <v>91</v>
      </c>
      <c r="D72" s="198" t="s">
        <v>189</v>
      </c>
      <c r="E72" s="33">
        <f>1284382.19</f>
        <v>1284382.19</v>
      </c>
      <c r="F72" s="34">
        <f>0</f>
        <v>0</v>
      </c>
      <c r="G72" s="34">
        <f>1150000</f>
        <v>1150000</v>
      </c>
      <c r="H72" s="34">
        <f>1100000</f>
        <v>1100000</v>
      </c>
      <c r="I72" s="34">
        <f>1150000</f>
        <v>1150000</v>
      </c>
      <c r="J72" s="34">
        <f>1100000</f>
        <v>1100000</v>
      </c>
      <c r="K72" s="34">
        <f>700000</f>
        <v>700000</v>
      </c>
      <c r="L72" s="34">
        <f>600000</f>
        <v>600000</v>
      </c>
      <c r="M72" s="34">
        <f>400000</f>
        <v>400000</v>
      </c>
      <c r="N72" s="34">
        <f>0</f>
        <v>0</v>
      </c>
    </row>
    <row r="73" spans="2:14" ht="14.25" outlineLevel="2">
      <c r="B73" s="30" t="s">
        <v>159</v>
      </c>
      <c r="C73" s="79" t="s">
        <v>92</v>
      </c>
      <c r="D73" s="198" t="s">
        <v>190</v>
      </c>
      <c r="E73" s="33">
        <f>103764</f>
        <v>103764</v>
      </c>
      <c r="F73" s="34">
        <f>38833</f>
        <v>38833</v>
      </c>
      <c r="G73" s="34">
        <f>0</f>
        <v>0</v>
      </c>
      <c r="H73" s="34">
        <f>0</f>
        <v>0</v>
      </c>
      <c r="I73" s="34">
        <f>0</f>
        <v>0</v>
      </c>
      <c r="J73" s="34">
        <f>0</f>
        <v>0</v>
      </c>
      <c r="K73" s="34">
        <f>0</f>
        <v>0</v>
      </c>
      <c r="L73" s="34">
        <f>0</f>
        <v>0</v>
      </c>
      <c r="M73" s="34">
        <f>0</f>
        <v>0</v>
      </c>
      <c r="N73" s="34">
        <f>0</f>
        <v>0</v>
      </c>
    </row>
    <row r="74" spans="2:15" ht="24" outlineLevel="1">
      <c r="B74" s="29">
        <v>12</v>
      </c>
      <c r="C74" s="260" t="s">
        <v>93</v>
      </c>
      <c r="D74" s="197" t="s">
        <v>93</v>
      </c>
      <c r="E74" s="39" t="s">
        <v>28</v>
      </c>
      <c r="F74" s="40" t="s">
        <v>28</v>
      </c>
      <c r="G74" s="40" t="s">
        <v>28</v>
      </c>
      <c r="H74" s="40" t="s">
        <v>28</v>
      </c>
      <c r="I74" s="40" t="s">
        <v>28</v>
      </c>
      <c r="J74" s="40" t="s">
        <v>28</v>
      </c>
      <c r="K74" s="40" t="s">
        <v>28</v>
      </c>
      <c r="L74" s="40" t="s">
        <v>28</v>
      </c>
      <c r="M74" s="40" t="s">
        <v>28</v>
      </c>
      <c r="N74" s="40" t="s">
        <v>28</v>
      </c>
      <c r="O74" s="27"/>
    </row>
    <row r="75" spans="2:14" ht="24" outlineLevel="2">
      <c r="B75" s="30" t="s">
        <v>160</v>
      </c>
      <c r="C75" s="79" t="s">
        <v>94</v>
      </c>
      <c r="D75" s="198" t="s">
        <v>448</v>
      </c>
      <c r="E75" s="33">
        <f>141812.43</f>
        <v>141812.43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  <c r="M75" s="34">
        <f>0</f>
        <v>0</v>
      </c>
      <c r="N75" s="34">
        <f>0</f>
        <v>0</v>
      </c>
    </row>
    <row r="76" spans="2:14" ht="14.25" outlineLevel="3">
      <c r="B76" s="30" t="s">
        <v>95</v>
      </c>
      <c r="C76" s="79" t="s">
        <v>96</v>
      </c>
      <c r="D76" s="268" t="s">
        <v>427</v>
      </c>
      <c r="E76" s="33">
        <f>125696.02</f>
        <v>125696.02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  <c r="M76" s="34">
        <f>0</f>
        <v>0</v>
      </c>
      <c r="N76" s="34">
        <f>0</f>
        <v>0</v>
      </c>
    </row>
    <row r="77" spans="2:14" ht="24" outlineLevel="4">
      <c r="B77" s="30" t="s">
        <v>97</v>
      </c>
      <c r="C77" s="79" t="s">
        <v>98</v>
      </c>
      <c r="D77" s="267" t="s">
        <v>426</v>
      </c>
      <c r="E77" s="33">
        <f>125696.02</f>
        <v>125696.02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  <c r="M77" s="34">
        <f>0</f>
        <v>0</v>
      </c>
      <c r="N77" s="34">
        <f>0</f>
        <v>0</v>
      </c>
    </row>
    <row r="78" spans="2:14" ht="24" outlineLevel="2">
      <c r="B78" s="30" t="s">
        <v>161</v>
      </c>
      <c r="C78" s="79" t="s">
        <v>99</v>
      </c>
      <c r="D78" s="198" t="s">
        <v>447</v>
      </c>
      <c r="E78" s="33">
        <f>0</f>
        <v>0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  <c r="M78" s="34">
        <f>0</f>
        <v>0</v>
      </c>
      <c r="N78" s="34">
        <f>0</f>
        <v>0</v>
      </c>
    </row>
    <row r="79" spans="2:14" ht="14.25" outlineLevel="3">
      <c r="B79" s="30" t="s">
        <v>100</v>
      </c>
      <c r="C79" s="79" t="s">
        <v>101</v>
      </c>
      <c r="D79" s="268" t="s">
        <v>427</v>
      </c>
      <c r="E79" s="33">
        <f>0</f>
        <v>0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  <c r="M79" s="34">
        <f>0</f>
        <v>0</v>
      </c>
      <c r="N79" s="34">
        <f>0</f>
        <v>0</v>
      </c>
    </row>
    <row r="80" spans="2:14" ht="24" outlineLevel="4">
      <c r="B80" s="30" t="s">
        <v>102</v>
      </c>
      <c r="C80" s="79" t="s">
        <v>103</v>
      </c>
      <c r="D80" s="267" t="s">
        <v>425</v>
      </c>
      <c r="E80" s="33">
        <f>0</f>
        <v>0</v>
      </c>
      <c r="F80" s="34">
        <f>0</f>
        <v>0</v>
      </c>
      <c r="G80" s="34">
        <f>0</f>
        <v>0</v>
      </c>
      <c r="H80" s="34">
        <f>0</f>
        <v>0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  <c r="M80" s="34">
        <f>0</f>
        <v>0</v>
      </c>
      <c r="N80" s="34">
        <f>0</f>
        <v>0</v>
      </c>
    </row>
    <row r="81" spans="2:14" ht="24" outlineLevel="2">
      <c r="B81" s="30" t="s">
        <v>162</v>
      </c>
      <c r="C81" s="79" t="s">
        <v>104</v>
      </c>
      <c r="D81" s="198" t="s">
        <v>191</v>
      </c>
      <c r="E81" s="33">
        <f>136490</f>
        <v>136490</v>
      </c>
      <c r="F81" s="34">
        <f>95572.25</f>
        <v>95572.25</v>
      </c>
      <c r="G81" s="34">
        <f>1375</f>
        <v>1375</v>
      </c>
      <c r="H81" s="34">
        <f>1375</f>
        <v>1375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  <c r="M81" s="34">
        <f>0</f>
        <v>0</v>
      </c>
      <c r="N81" s="34">
        <f>0</f>
        <v>0</v>
      </c>
    </row>
    <row r="82" spans="2:14" ht="14.25" outlineLevel="3">
      <c r="B82" s="30" t="s">
        <v>105</v>
      </c>
      <c r="C82" s="79" t="s">
        <v>106</v>
      </c>
      <c r="D82" s="268" t="s">
        <v>446</v>
      </c>
      <c r="E82" s="33">
        <f>114262.95</f>
        <v>114262.95</v>
      </c>
      <c r="F82" s="34">
        <f>80580</f>
        <v>80580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  <c r="M82" s="34">
        <f>0</f>
        <v>0</v>
      </c>
      <c r="N82" s="34">
        <f>0</f>
        <v>0</v>
      </c>
    </row>
    <row r="83" spans="2:14" ht="24" outlineLevel="3">
      <c r="B83" s="30" t="s">
        <v>107</v>
      </c>
      <c r="C83" s="79" t="s">
        <v>108</v>
      </c>
      <c r="D83" s="199" t="s">
        <v>192</v>
      </c>
      <c r="E83" s="33">
        <f>136490</f>
        <v>136490</v>
      </c>
      <c r="F83" s="34">
        <f>92822.25</f>
        <v>92822.25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  <c r="M83" s="34">
        <f>0</f>
        <v>0</v>
      </c>
      <c r="N83" s="34">
        <f>0</f>
        <v>0</v>
      </c>
    </row>
    <row r="84" spans="2:14" ht="24" outlineLevel="2">
      <c r="B84" s="30" t="s">
        <v>163</v>
      </c>
      <c r="C84" s="79" t="s">
        <v>109</v>
      </c>
      <c r="D84" s="198" t="s">
        <v>193</v>
      </c>
      <c r="E84" s="33">
        <f>4977670</f>
        <v>4977670</v>
      </c>
      <c r="F84" s="34">
        <f>4553833</f>
        <v>4553833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  <c r="M84" s="34">
        <f>0</f>
        <v>0</v>
      </c>
      <c r="N84" s="34">
        <f>0</f>
        <v>0</v>
      </c>
    </row>
    <row r="85" spans="2:14" ht="14.25" outlineLevel="3">
      <c r="B85" s="30" t="s">
        <v>110</v>
      </c>
      <c r="C85" s="79" t="s">
        <v>111</v>
      </c>
      <c r="D85" s="268" t="s">
        <v>445</v>
      </c>
      <c r="E85" s="33">
        <f>2731444</f>
        <v>2731444</v>
      </c>
      <c r="F85" s="34">
        <f>2416023</f>
        <v>2416023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  <c r="M85" s="34">
        <f>0</f>
        <v>0</v>
      </c>
      <c r="N85" s="34">
        <f>0</f>
        <v>0</v>
      </c>
    </row>
    <row r="86" spans="2:14" ht="24" outlineLevel="3">
      <c r="B86" s="30" t="s">
        <v>112</v>
      </c>
      <c r="C86" s="79" t="s">
        <v>113</v>
      </c>
      <c r="D86" s="199" t="s">
        <v>194</v>
      </c>
      <c r="E86" s="33">
        <f>2410061.55</f>
        <v>2410061.55</v>
      </c>
      <c r="F86" s="34">
        <f>38833</f>
        <v>38833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  <c r="M86" s="34">
        <f>0</f>
        <v>0</v>
      </c>
      <c r="N86" s="34">
        <f>0</f>
        <v>0</v>
      </c>
    </row>
    <row r="87" spans="1:14" s="237" customFormat="1" ht="36" outlineLevel="2">
      <c r="A87" s="243"/>
      <c r="B87" s="30" t="s">
        <v>377</v>
      </c>
      <c r="C87" s="79" t="s">
        <v>378</v>
      </c>
      <c r="D87" s="198" t="s">
        <v>444</v>
      </c>
      <c r="E87" s="33">
        <f>2268453.05</f>
        <v>2268453.05</v>
      </c>
      <c r="F87" s="34">
        <f>2152802.25</f>
        <v>2152802.25</v>
      </c>
      <c r="G87" s="34">
        <f>1375</f>
        <v>1375</v>
      </c>
      <c r="H87" s="34">
        <f>1375</f>
        <v>1375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  <c r="M87" s="34">
        <f>0</f>
        <v>0</v>
      </c>
      <c r="N87" s="34">
        <f>0</f>
        <v>0</v>
      </c>
    </row>
    <row r="88" spans="1:14" s="237" customFormat="1" ht="14.25" outlineLevel="3">
      <c r="A88" s="243"/>
      <c r="B88" s="30" t="s">
        <v>379</v>
      </c>
      <c r="C88" s="79" t="s">
        <v>380</v>
      </c>
      <c r="D88" s="199" t="s">
        <v>429</v>
      </c>
      <c r="E88" s="33">
        <f>1558740</f>
        <v>1558740</v>
      </c>
      <c r="F88" s="34">
        <f>53825.25</f>
        <v>53825.25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  <c r="M88" s="34">
        <f>0</f>
        <v>0</v>
      </c>
      <c r="N88" s="34">
        <f>0</f>
        <v>0</v>
      </c>
    </row>
    <row r="89" spans="1:14" s="237" customFormat="1" ht="36" outlineLevel="2">
      <c r="A89" s="243"/>
      <c r="B89" s="30" t="s">
        <v>381</v>
      </c>
      <c r="C89" s="79" t="s">
        <v>382</v>
      </c>
      <c r="D89" s="198" t="s">
        <v>428</v>
      </c>
      <c r="E89" s="33">
        <f>2268453.05</f>
        <v>2268453.05</v>
      </c>
      <c r="F89" s="34">
        <f>1238969.25</f>
        <v>1238969.25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  <c r="M89" s="34">
        <f>0</f>
        <v>0</v>
      </c>
      <c r="N89" s="34">
        <f>0</f>
        <v>0</v>
      </c>
    </row>
    <row r="90" spans="1:14" s="237" customFormat="1" ht="14.25" outlineLevel="3">
      <c r="A90" s="243"/>
      <c r="B90" s="30" t="s">
        <v>383</v>
      </c>
      <c r="C90" s="79" t="s">
        <v>380</v>
      </c>
      <c r="D90" s="199" t="s">
        <v>429</v>
      </c>
      <c r="E90" s="33">
        <f>1558740</f>
        <v>1558740</v>
      </c>
      <c r="F90" s="34">
        <f>53825.25</f>
        <v>53825.25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  <c r="M90" s="34">
        <f>0</f>
        <v>0</v>
      </c>
      <c r="N90" s="34">
        <f>0</f>
        <v>0</v>
      </c>
    </row>
    <row r="91" spans="1:14" s="237" customFormat="1" ht="36" outlineLevel="2">
      <c r="A91" s="243"/>
      <c r="B91" s="30" t="s">
        <v>384</v>
      </c>
      <c r="C91" s="79" t="s">
        <v>385</v>
      </c>
      <c r="D91" s="198" t="s">
        <v>443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  <c r="M91" s="34">
        <f>0</f>
        <v>0</v>
      </c>
      <c r="N91" s="34">
        <f>0</f>
        <v>0</v>
      </c>
    </row>
    <row r="92" spans="1:14" s="237" customFormat="1" ht="14.25" outlineLevel="3">
      <c r="A92" s="243"/>
      <c r="B92" s="30" t="s">
        <v>386</v>
      </c>
      <c r="C92" s="79" t="s">
        <v>380</v>
      </c>
      <c r="D92" s="199" t="s">
        <v>429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  <c r="M92" s="34">
        <f>0</f>
        <v>0</v>
      </c>
      <c r="N92" s="34">
        <f>0</f>
        <v>0</v>
      </c>
    </row>
    <row r="93" spans="1:14" s="237" customFormat="1" ht="36" outlineLevel="2">
      <c r="A93" s="243"/>
      <c r="B93" s="30" t="s">
        <v>387</v>
      </c>
      <c r="C93" s="79" t="s">
        <v>388</v>
      </c>
      <c r="D93" s="198" t="s">
        <v>442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  <c r="M93" s="34">
        <f>0</f>
        <v>0</v>
      </c>
      <c r="N93" s="34">
        <f>0</f>
        <v>0</v>
      </c>
    </row>
    <row r="94" spans="1:14" s="237" customFormat="1" ht="14.25" outlineLevel="3">
      <c r="A94" s="243"/>
      <c r="B94" s="30" t="s">
        <v>389</v>
      </c>
      <c r="C94" s="79" t="s">
        <v>380</v>
      </c>
      <c r="D94" s="199" t="s">
        <v>429</v>
      </c>
      <c r="E94" s="33">
        <f>0</f>
        <v>0</v>
      </c>
      <c r="F94" s="34">
        <f>0</f>
        <v>0</v>
      </c>
      <c r="G94" s="34">
        <f>0</f>
        <v>0</v>
      </c>
      <c r="H94" s="34">
        <f>0</f>
        <v>0</v>
      </c>
      <c r="I94" s="34">
        <f>0</f>
        <v>0</v>
      </c>
      <c r="J94" s="34">
        <f>0</f>
        <v>0</v>
      </c>
      <c r="K94" s="34">
        <f>0</f>
        <v>0</v>
      </c>
      <c r="L94" s="34">
        <f>0</f>
        <v>0</v>
      </c>
      <c r="M94" s="34">
        <f>0</f>
        <v>0</v>
      </c>
      <c r="N94" s="34">
        <f>0</f>
        <v>0</v>
      </c>
    </row>
    <row r="95" spans="2:15" ht="24" outlineLevel="1">
      <c r="B95" s="29">
        <v>13</v>
      </c>
      <c r="C95" s="260" t="s">
        <v>114</v>
      </c>
      <c r="D95" s="196" t="s">
        <v>114</v>
      </c>
      <c r="E95" s="39" t="s">
        <v>28</v>
      </c>
      <c r="F95" s="40" t="s">
        <v>28</v>
      </c>
      <c r="G95" s="40" t="s">
        <v>28</v>
      </c>
      <c r="H95" s="40" t="s">
        <v>28</v>
      </c>
      <c r="I95" s="40" t="s">
        <v>28</v>
      </c>
      <c r="J95" s="40" t="s">
        <v>28</v>
      </c>
      <c r="K95" s="40" t="s">
        <v>28</v>
      </c>
      <c r="L95" s="40" t="s">
        <v>28</v>
      </c>
      <c r="M95" s="40" t="s">
        <v>28</v>
      </c>
      <c r="N95" s="40" t="s">
        <v>28</v>
      </c>
      <c r="O95" s="27"/>
    </row>
    <row r="96" spans="2:14" ht="24" outlineLevel="2">
      <c r="B96" s="30" t="s">
        <v>164</v>
      </c>
      <c r="C96" s="79" t="s">
        <v>115</v>
      </c>
      <c r="D96" s="198" t="s">
        <v>195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  <c r="M96" s="34">
        <f>0</f>
        <v>0</v>
      </c>
      <c r="N96" s="34">
        <f>0</f>
        <v>0</v>
      </c>
    </row>
    <row r="97" spans="2:14" ht="24" outlineLevel="2">
      <c r="B97" s="30" t="s">
        <v>165</v>
      </c>
      <c r="C97" s="79" t="s">
        <v>116</v>
      </c>
      <c r="D97" s="198" t="s">
        <v>430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  <c r="M97" s="34">
        <f>0</f>
        <v>0</v>
      </c>
      <c r="N97" s="34">
        <f>0</f>
        <v>0</v>
      </c>
    </row>
    <row r="98" spans="2:14" ht="14.25" outlineLevel="2">
      <c r="B98" s="30" t="s">
        <v>166</v>
      </c>
      <c r="C98" s="79" t="s">
        <v>117</v>
      </c>
      <c r="D98" s="198" t="s">
        <v>196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  <c r="M98" s="34">
        <f>0</f>
        <v>0</v>
      </c>
      <c r="N98" s="34">
        <f>0</f>
        <v>0</v>
      </c>
    </row>
    <row r="99" spans="2:14" ht="24" outlineLevel="2">
      <c r="B99" s="30" t="s">
        <v>167</v>
      </c>
      <c r="C99" s="79" t="s">
        <v>118</v>
      </c>
      <c r="D99" s="198" t="s">
        <v>431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  <c r="M99" s="34">
        <f>0</f>
        <v>0</v>
      </c>
      <c r="N99" s="34">
        <f>0</f>
        <v>0</v>
      </c>
    </row>
    <row r="100" spans="2:14" ht="24" outlineLevel="2">
      <c r="B100" s="30" t="s">
        <v>168</v>
      </c>
      <c r="C100" s="79" t="s">
        <v>119</v>
      </c>
      <c r="D100" s="198" t="s">
        <v>432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  <c r="M100" s="34">
        <f>0</f>
        <v>0</v>
      </c>
      <c r="N100" s="34">
        <f>0</f>
        <v>0</v>
      </c>
    </row>
    <row r="101" spans="2:14" ht="24" outlineLevel="2">
      <c r="B101" s="30" t="s">
        <v>169</v>
      </c>
      <c r="C101" s="79" t="s">
        <v>120</v>
      </c>
      <c r="D101" s="198" t="s">
        <v>197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  <c r="M101" s="34">
        <f>0</f>
        <v>0</v>
      </c>
      <c r="N101" s="34">
        <f>0</f>
        <v>0</v>
      </c>
    </row>
    <row r="102" spans="2:14" ht="24" outlineLevel="2">
      <c r="B102" s="30" t="s">
        <v>170</v>
      </c>
      <c r="C102" s="79" t="s">
        <v>121</v>
      </c>
      <c r="D102" s="198" t="s">
        <v>198</v>
      </c>
      <c r="E102" s="33">
        <f>0</f>
        <v>0</v>
      </c>
      <c r="F102" s="34">
        <f>0</f>
        <v>0</v>
      </c>
      <c r="G102" s="34">
        <f>0</f>
        <v>0</v>
      </c>
      <c r="H102" s="34">
        <f>0</f>
        <v>0</v>
      </c>
      <c r="I102" s="34">
        <f>0</f>
        <v>0</v>
      </c>
      <c r="J102" s="34">
        <f>0</f>
        <v>0</v>
      </c>
      <c r="K102" s="34">
        <f>0</f>
        <v>0</v>
      </c>
      <c r="L102" s="34">
        <f>0</f>
        <v>0</v>
      </c>
      <c r="M102" s="34">
        <f>0</f>
        <v>0</v>
      </c>
      <c r="N102" s="34">
        <f>0</f>
        <v>0</v>
      </c>
    </row>
    <row r="103" spans="1:15" ht="15" outlineLevel="1">
      <c r="A103" s="213" t="s">
        <v>28</v>
      </c>
      <c r="B103" s="29">
        <v>14</v>
      </c>
      <c r="C103" s="260" t="s">
        <v>122</v>
      </c>
      <c r="D103" s="197" t="s">
        <v>122</v>
      </c>
      <c r="E103" s="39" t="s">
        <v>28</v>
      </c>
      <c r="F103" s="40" t="s">
        <v>28</v>
      </c>
      <c r="G103" s="40" t="s">
        <v>28</v>
      </c>
      <c r="H103" s="40" t="s">
        <v>28</v>
      </c>
      <c r="I103" s="40" t="s">
        <v>28</v>
      </c>
      <c r="J103" s="40" t="s">
        <v>28</v>
      </c>
      <c r="K103" s="40" t="s">
        <v>28</v>
      </c>
      <c r="L103" s="40" t="s">
        <v>28</v>
      </c>
      <c r="M103" s="40" t="s">
        <v>28</v>
      </c>
      <c r="N103" s="40" t="s">
        <v>28</v>
      </c>
      <c r="O103" s="27"/>
    </row>
    <row r="104" spans="1:14" ht="24" outlineLevel="2">
      <c r="A104" s="213" t="s">
        <v>28</v>
      </c>
      <c r="B104" s="30" t="s">
        <v>171</v>
      </c>
      <c r="C104" s="79" t="s">
        <v>123</v>
      </c>
      <c r="D104" s="198" t="s">
        <v>199</v>
      </c>
      <c r="E104" s="33">
        <f>368527.28</f>
        <v>368527.28</v>
      </c>
      <c r="F104" s="34">
        <f>217309</f>
        <v>217309</v>
      </c>
      <c r="G104" s="34">
        <f>250000</f>
        <v>250000</v>
      </c>
      <c r="H104" s="34">
        <f>350000</f>
        <v>350000</v>
      </c>
      <c r="I104" s="34">
        <f>205000</f>
        <v>205000</v>
      </c>
      <c r="J104" s="34">
        <f>100000</f>
        <v>100000</v>
      </c>
      <c r="K104" s="34">
        <f>0</f>
        <v>0</v>
      </c>
      <c r="L104" s="34">
        <f>0</f>
        <v>0</v>
      </c>
      <c r="M104" s="34">
        <f>0</f>
        <v>0</v>
      </c>
      <c r="N104" s="34">
        <f>0</f>
        <v>0</v>
      </c>
    </row>
    <row r="105" spans="1:14" ht="14.25" outlineLevel="2">
      <c r="A105" s="213" t="s">
        <v>28</v>
      </c>
      <c r="B105" s="30" t="s">
        <v>172</v>
      </c>
      <c r="C105" s="79" t="s">
        <v>124</v>
      </c>
      <c r="D105" s="198" t="s">
        <v>200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  <c r="M105" s="34">
        <f>0</f>
        <v>0</v>
      </c>
      <c r="N105" s="34">
        <f>0</f>
        <v>0</v>
      </c>
    </row>
    <row r="106" spans="1:14" ht="14.25" outlineLevel="2">
      <c r="A106" s="213" t="s">
        <v>28</v>
      </c>
      <c r="B106" s="30" t="s">
        <v>173</v>
      </c>
      <c r="C106" s="79" t="s">
        <v>125</v>
      </c>
      <c r="D106" s="198" t="s">
        <v>433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  <c r="M106" s="34">
        <f>0</f>
        <v>0</v>
      </c>
      <c r="N106" s="34">
        <f>0</f>
        <v>0</v>
      </c>
    </row>
    <row r="107" spans="1:14" ht="14.25" outlineLevel="3">
      <c r="A107" s="213" t="s">
        <v>28</v>
      </c>
      <c r="B107" s="30" t="s">
        <v>126</v>
      </c>
      <c r="C107" s="79" t="s">
        <v>127</v>
      </c>
      <c r="D107" s="199" t="s">
        <v>201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  <c r="M107" s="34">
        <f>0</f>
        <v>0</v>
      </c>
      <c r="N107" s="34">
        <f>0</f>
        <v>0</v>
      </c>
    </row>
    <row r="108" spans="1:14" ht="14.25" outlineLevel="3">
      <c r="A108" s="213" t="s">
        <v>28</v>
      </c>
      <c r="B108" s="30" t="s">
        <v>128</v>
      </c>
      <c r="C108" s="79" t="s">
        <v>390</v>
      </c>
      <c r="D108" s="199" t="s">
        <v>434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  <c r="M108" s="34">
        <f>0</f>
        <v>0</v>
      </c>
      <c r="N108" s="34">
        <f>0</f>
        <v>0</v>
      </c>
    </row>
    <row r="109" spans="1:14" ht="14.25" outlineLevel="3">
      <c r="A109" s="213" t="s">
        <v>28</v>
      </c>
      <c r="B109" s="30" t="s">
        <v>129</v>
      </c>
      <c r="C109" s="79" t="s">
        <v>130</v>
      </c>
      <c r="D109" s="199" t="s">
        <v>202</v>
      </c>
      <c r="E109" s="33">
        <f>0</f>
        <v>0</v>
      </c>
      <c r="F109" s="34">
        <f>0</f>
        <v>0</v>
      </c>
      <c r="G109" s="34">
        <f>0</f>
        <v>0</v>
      </c>
      <c r="H109" s="34">
        <f>0</f>
        <v>0</v>
      </c>
      <c r="I109" s="34">
        <f>0</f>
        <v>0</v>
      </c>
      <c r="J109" s="34">
        <f>0</f>
        <v>0</v>
      </c>
      <c r="K109" s="34">
        <f>0</f>
        <v>0</v>
      </c>
      <c r="L109" s="34">
        <f>0</f>
        <v>0</v>
      </c>
      <c r="M109" s="34">
        <f>0</f>
        <v>0</v>
      </c>
      <c r="N109" s="34">
        <f>0</f>
        <v>0</v>
      </c>
    </row>
    <row r="110" spans="1:14" ht="14.25" outlineLevel="2">
      <c r="A110" s="213" t="s">
        <v>28</v>
      </c>
      <c r="B110" s="294" t="s">
        <v>174</v>
      </c>
      <c r="C110" s="295" t="s">
        <v>131</v>
      </c>
      <c r="D110" s="296" t="s">
        <v>441</v>
      </c>
      <c r="E110" s="297">
        <f>0</f>
        <v>0</v>
      </c>
      <c r="F110" s="298">
        <f>0</f>
        <v>0</v>
      </c>
      <c r="G110" s="298">
        <f>0</f>
        <v>0</v>
      </c>
      <c r="H110" s="298">
        <f>0</f>
        <v>0</v>
      </c>
      <c r="I110" s="298">
        <f>0</f>
        <v>0</v>
      </c>
      <c r="J110" s="298">
        <f>0</f>
        <v>0</v>
      </c>
      <c r="K110" s="298">
        <f>0</f>
        <v>0</v>
      </c>
      <c r="L110" s="298">
        <f>0</f>
        <v>0</v>
      </c>
      <c r="M110" s="298">
        <f>0</f>
        <v>0</v>
      </c>
      <c r="N110" s="298">
        <f>0</f>
        <v>0</v>
      </c>
    </row>
    <row r="111" spans="1:14" s="237" customFormat="1" ht="14.25" outlineLevel="1" collapsed="1">
      <c r="A111" s="243"/>
      <c r="B111" s="326">
        <v>15</v>
      </c>
      <c r="C111" s="327" t="s">
        <v>391</v>
      </c>
      <c r="D111" s="328" t="s">
        <v>391</v>
      </c>
      <c r="E111" s="321" t="s">
        <v>28</v>
      </c>
      <c r="F111" s="329" t="s">
        <v>28</v>
      </c>
      <c r="G111" s="329" t="s">
        <v>28</v>
      </c>
      <c r="H111" s="329" t="s">
        <v>28</v>
      </c>
      <c r="I111" s="329" t="s">
        <v>28</v>
      </c>
      <c r="J111" s="329" t="s">
        <v>28</v>
      </c>
      <c r="K111" s="329" t="s">
        <v>28</v>
      </c>
      <c r="L111" s="329" t="s">
        <v>28</v>
      </c>
      <c r="M111" s="329" t="s">
        <v>28</v>
      </c>
      <c r="N111" s="329" t="s">
        <v>28</v>
      </c>
    </row>
    <row r="112" spans="1:14" s="237" customFormat="1" ht="14.25" hidden="1" outlineLevel="2">
      <c r="A112" s="243"/>
      <c r="B112" s="322" t="s">
        <v>392</v>
      </c>
      <c r="C112" s="323" t="s">
        <v>393</v>
      </c>
      <c r="D112" s="324" t="s">
        <v>436</v>
      </c>
      <c r="E112" s="316">
        <f>0</f>
        <v>0</v>
      </c>
      <c r="F112" s="325">
        <f>0</f>
        <v>0</v>
      </c>
      <c r="G112" s="325">
        <f>0</f>
        <v>0</v>
      </c>
      <c r="H112" s="325">
        <f>0</f>
        <v>0</v>
      </c>
      <c r="I112" s="325">
        <f>0</f>
        <v>0</v>
      </c>
      <c r="J112" s="325">
        <f>0</f>
        <v>0</v>
      </c>
      <c r="K112" s="325">
        <f>0</f>
        <v>0</v>
      </c>
      <c r="L112" s="325">
        <f>0</f>
        <v>0</v>
      </c>
      <c r="M112" s="325">
        <f>0</f>
        <v>0</v>
      </c>
      <c r="N112" s="325">
        <f>0</f>
        <v>0</v>
      </c>
    </row>
    <row r="113" spans="1:14" s="237" customFormat="1" ht="14.25" hidden="1" outlineLevel="3">
      <c r="A113" s="243" t="s">
        <v>28</v>
      </c>
      <c r="B113" s="30" t="s">
        <v>394</v>
      </c>
      <c r="C113" s="79" t="s">
        <v>395</v>
      </c>
      <c r="D113" s="199" t="s">
        <v>435</v>
      </c>
      <c r="E113" s="33">
        <f>0</f>
        <v>0</v>
      </c>
      <c r="F113" s="34">
        <f>0</f>
        <v>0</v>
      </c>
      <c r="G113" s="34">
        <f>0</f>
        <v>0</v>
      </c>
      <c r="H113" s="34">
        <f>0</f>
        <v>0</v>
      </c>
      <c r="I113" s="34">
        <f>0</f>
        <v>0</v>
      </c>
      <c r="J113" s="34">
        <f>0</f>
        <v>0</v>
      </c>
      <c r="K113" s="34">
        <f>0</f>
        <v>0</v>
      </c>
      <c r="L113" s="34">
        <f>0</f>
        <v>0</v>
      </c>
      <c r="M113" s="34">
        <f>0</f>
        <v>0</v>
      </c>
      <c r="N113" s="34">
        <f>0</f>
        <v>0</v>
      </c>
    </row>
    <row r="114" spans="1:14" s="237" customFormat="1" ht="24" hidden="1" outlineLevel="2">
      <c r="A114" s="243" t="s">
        <v>28</v>
      </c>
      <c r="B114" s="294" t="s">
        <v>396</v>
      </c>
      <c r="C114" s="295" t="s">
        <v>398</v>
      </c>
      <c r="D114" s="296" t="s">
        <v>398</v>
      </c>
      <c r="E114" s="297">
        <f>0</f>
        <v>0</v>
      </c>
      <c r="F114" s="298">
        <f>0</f>
        <v>0</v>
      </c>
      <c r="G114" s="298">
        <f>0</f>
        <v>0</v>
      </c>
      <c r="H114" s="298">
        <f>0</f>
        <v>0</v>
      </c>
      <c r="I114" s="298">
        <f>0</f>
        <v>0</v>
      </c>
      <c r="J114" s="298">
        <f>0</f>
        <v>0</v>
      </c>
      <c r="K114" s="298">
        <f>0</f>
        <v>0</v>
      </c>
      <c r="L114" s="298">
        <f>0</f>
        <v>0</v>
      </c>
      <c r="M114" s="298">
        <f>0</f>
        <v>0</v>
      </c>
      <c r="N114" s="298">
        <f>0</f>
        <v>0</v>
      </c>
    </row>
    <row r="115" spans="1:14" s="237" customFormat="1" ht="24" outlineLevel="1" collapsed="1">
      <c r="A115" s="317"/>
      <c r="B115" s="318">
        <v>16</v>
      </c>
      <c r="C115" s="319"/>
      <c r="D115" s="320" t="s">
        <v>465</v>
      </c>
      <c r="E115" s="321" t="s">
        <v>28</v>
      </c>
      <c r="F115" s="321" t="s">
        <v>28</v>
      </c>
      <c r="G115" s="321" t="s">
        <v>28</v>
      </c>
      <c r="H115" s="321" t="s">
        <v>28</v>
      </c>
      <c r="I115" s="321" t="s">
        <v>28</v>
      </c>
      <c r="J115" s="321" t="s">
        <v>28</v>
      </c>
      <c r="K115" s="321" t="s">
        <v>28</v>
      </c>
      <c r="L115" s="321" t="s">
        <v>28</v>
      </c>
      <c r="M115" s="321" t="s">
        <v>28</v>
      </c>
      <c r="N115" s="321" t="s">
        <v>28</v>
      </c>
    </row>
    <row r="116" spans="1:14" s="237" customFormat="1" ht="14.25" hidden="1" outlineLevel="2">
      <c r="A116" s="243"/>
      <c r="B116" s="314" t="s">
        <v>469</v>
      </c>
      <c r="C116" s="280"/>
      <c r="D116" s="315" t="s">
        <v>466</v>
      </c>
      <c r="E116" s="316">
        <f>+IF(E52&lt;0,E52,"")</f>
      </c>
      <c r="F116" s="316">
        <f aca="true" t="shared" si="11" ref="F116:N116">+IF(F52&lt;0,F52,"")</f>
      </c>
      <c r="G116" s="316">
        <f t="shared" si="11"/>
      </c>
      <c r="H116" s="316">
        <f t="shared" si="11"/>
      </c>
      <c r="I116" s="316">
        <f t="shared" si="11"/>
      </c>
      <c r="J116" s="316">
        <f t="shared" si="11"/>
      </c>
      <c r="K116" s="316">
        <f t="shared" si="11"/>
      </c>
      <c r="L116" s="316">
        <f t="shared" si="11"/>
      </c>
      <c r="M116" s="316">
        <f t="shared" si="11"/>
      </c>
      <c r="N116" s="316">
        <f t="shared" si="11"/>
      </c>
    </row>
    <row r="117" spans="1:14" s="237" customFormat="1" ht="14.25" hidden="1" outlineLevel="2">
      <c r="A117" s="243" t="s">
        <v>28</v>
      </c>
      <c r="B117" s="289" t="s">
        <v>470</v>
      </c>
      <c r="C117" s="280"/>
      <c r="D117" s="291" t="s">
        <v>467</v>
      </c>
      <c r="E117" s="282">
        <f>IF(E57&lt;=E59,"",E59-E57)</f>
      </c>
      <c r="F117" s="282">
        <f aca="true" t="shared" si="12" ref="F117:N117">IF(F57&lt;=F59,"",F59-F57)</f>
      </c>
      <c r="G117" s="282">
        <f t="shared" si="12"/>
      </c>
      <c r="H117" s="282">
        <f t="shared" si="12"/>
      </c>
      <c r="I117" s="282">
        <f t="shared" si="12"/>
      </c>
      <c r="J117" s="282">
        <f t="shared" si="12"/>
      </c>
      <c r="K117" s="282">
        <f t="shared" si="12"/>
      </c>
      <c r="L117" s="282">
        <f t="shared" si="12"/>
      </c>
      <c r="M117" s="282">
        <f t="shared" si="12"/>
      </c>
      <c r="N117" s="282">
        <f t="shared" si="12"/>
      </c>
    </row>
    <row r="118" spans="1:14" s="237" customFormat="1" ht="14.25" hidden="1" outlineLevel="2">
      <c r="A118" s="243" t="s">
        <v>28</v>
      </c>
      <c r="B118" s="290" t="s">
        <v>471</v>
      </c>
      <c r="C118" s="293"/>
      <c r="D118" s="292" t="s">
        <v>468</v>
      </c>
      <c r="E118" s="281">
        <f>IF(E57&lt;=E60,"",E60-E57)</f>
      </c>
      <c r="F118" s="281">
        <f aca="true" t="shared" si="13" ref="F118:N118">IF(F57&lt;=F60,"",F60-F57)</f>
      </c>
      <c r="G118" s="281">
        <f t="shared" si="13"/>
      </c>
      <c r="H118" s="281">
        <f t="shared" si="13"/>
      </c>
      <c r="I118" s="281">
        <f t="shared" si="13"/>
      </c>
      <c r="J118" s="281">
        <f t="shared" si="13"/>
      </c>
      <c r="K118" s="281">
        <f t="shared" si="13"/>
      </c>
      <c r="L118" s="281">
        <f t="shared" si="13"/>
      </c>
      <c r="M118" s="281">
        <f t="shared" si="13"/>
      </c>
      <c r="N118" s="281">
        <f t="shared" si="13"/>
      </c>
    </row>
    <row r="119" spans="2:15" ht="14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58"/>
    </row>
    <row r="120" spans="2:15" ht="15">
      <c r="B120" s="83" t="s">
        <v>204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58"/>
    </row>
    <row r="121" spans="2:15" ht="15">
      <c r="B121" s="84" t="s">
        <v>472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58"/>
    </row>
    <row r="122" spans="2:15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58"/>
    </row>
    <row r="123" spans="2:15" ht="14.25">
      <c r="B123" s="86"/>
      <c r="C123" s="86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58"/>
    </row>
    <row r="124" spans="2:15" ht="15">
      <c r="B124" s="87" t="s">
        <v>473</v>
      </c>
      <c r="C124" s="87"/>
      <c r="D124" s="87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58"/>
    </row>
    <row r="125" spans="2:15" ht="14.25" outlineLevel="1">
      <c r="B125" s="89"/>
      <c r="C125" s="89"/>
      <c r="D125" s="90" t="s">
        <v>300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58"/>
    </row>
    <row r="126" spans="2:15" ht="14.25" outlineLevel="1">
      <c r="B126" s="89"/>
      <c r="C126" s="89"/>
      <c r="D126" s="91" t="s">
        <v>301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58"/>
    </row>
    <row r="127" spans="2:15" ht="14.25" outlineLevel="1">
      <c r="B127" s="89"/>
      <c r="C127" s="89"/>
      <c r="D127" s="92" t="s">
        <v>257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58"/>
    </row>
    <row r="128" spans="2:15" ht="14.25" outlineLevel="1">
      <c r="B128" s="152"/>
      <c r="C128" s="152"/>
      <c r="D128" s="153" t="s">
        <v>318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58"/>
    </row>
    <row r="129" spans="2:15" ht="14.25" outlineLevel="2">
      <c r="B129" s="201" t="s">
        <v>207</v>
      </c>
      <c r="C129" s="205" t="s">
        <v>207</v>
      </c>
      <c r="D129" s="46" t="s">
        <v>252</v>
      </c>
      <c r="E129" s="186" t="str">
        <f aca="true" t="shared" si="14" ref="E129:N129">IF(ROUND(E11+E33+E35,2)&gt;=ROUND(E22-E25,2),"TAK","NIE")</f>
        <v>TAK</v>
      </c>
      <c r="F129" s="182" t="str">
        <f t="shared" si="14"/>
        <v>TAK</v>
      </c>
      <c r="G129" s="182" t="str">
        <f t="shared" si="14"/>
        <v>TAK</v>
      </c>
      <c r="H129" s="182" t="str">
        <f t="shared" si="14"/>
        <v>TAK</v>
      </c>
      <c r="I129" s="182" t="str">
        <f t="shared" si="14"/>
        <v>TAK</v>
      </c>
      <c r="J129" s="182" t="str">
        <f t="shared" si="14"/>
        <v>TAK</v>
      </c>
      <c r="K129" s="182" t="str">
        <f t="shared" si="14"/>
        <v>TAK</v>
      </c>
      <c r="L129" s="182" t="str">
        <f t="shared" si="14"/>
        <v>TAK</v>
      </c>
      <c r="M129" s="182" t="str">
        <f t="shared" si="14"/>
        <v>TAK</v>
      </c>
      <c r="N129" s="182" t="str">
        <f t="shared" si="14"/>
        <v>TAK</v>
      </c>
      <c r="O129" s="15"/>
    </row>
    <row r="130" spans="2:15" ht="24" outlineLevel="2">
      <c r="B130" s="202" t="s">
        <v>205</v>
      </c>
      <c r="C130" s="242" t="s">
        <v>205</v>
      </c>
      <c r="D130" s="47" t="s">
        <v>304</v>
      </c>
      <c r="E130" s="187" t="s">
        <v>28</v>
      </c>
      <c r="F130" s="180" t="s">
        <v>28</v>
      </c>
      <c r="G130" s="180" t="str">
        <f aca="true" t="shared" si="15" ref="G130:N130">IF(G98=0,"TAK","BŁĄD")</f>
        <v>TAK</v>
      </c>
      <c r="H130" s="180" t="str">
        <f t="shared" si="15"/>
        <v>TAK</v>
      </c>
      <c r="I130" s="180" t="str">
        <f t="shared" si="15"/>
        <v>TAK</v>
      </c>
      <c r="J130" s="180" t="str">
        <f t="shared" si="15"/>
        <v>TAK</v>
      </c>
      <c r="K130" s="180" t="str">
        <f t="shared" si="15"/>
        <v>TAK</v>
      </c>
      <c r="L130" s="180" t="str">
        <f t="shared" si="15"/>
        <v>TAK</v>
      </c>
      <c r="M130" s="180" t="str">
        <f t="shared" si="15"/>
        <v>TAK</v>
      </c>
      <c r="N130" s="180" t="str">
        <f t="shared" si="15"/>
        <v>TAK</v>
      </c>
      <c r="O130" s="15"/>
    </row>
    <row r="131" spans="2:15" ht="14.25" outlineLevel="1">
      <c r="B131" s="202" t="s">
        <v>206</v>
      </c>
      <c r="C131" s="242" t="s">
        <v>206</v>
      </c>
      <c r="D131" s="48" t="s">
        <v>253</v>
      </c>
      <c r="E131" s="192" t="str">
        <f aca="true" t="shared" si="16" ref="E131:N131">IF(ROUND(E10+E32-E21-E41,2)=0,"OK",ROUND(E10+E32-E21-E41,2))</f>
        <v>OK</v>
      </c>
      <c r="F131" s="193" t="str">
        <f t="shared" si="16"/>
        <v>OK</v>
      </c>
      <c r="G131" s="193" t="str">
        <f t="shared" si="16"/>
        <v>OK</v>
      </c>
      <c r="H131" s="193" t="str">
        <f t="shared" si="16"/>
        <v>OK</v>
      </c>
      <c r="I131" s="193" t="str">
        <f t="shared" si="16"/>
        <v>OK</v>
      </c>
      <c r="J131" s="193" t="str">
        <f t="shared" si="16"/>
        <v>OK</v>
      </c>
      <c r="K131" s="193" t="str">
        <f t="shared" si="16"/>
        <v>OK</v>
      </c>
      <c r="L131" s="193" t="str">
        <f t="shared" si="16"/>
        <v>OK</v>
      </c>
      <c r="M131" s="193" t="str">
        <f t="shared" si="16"/>
        <v>OK</v>
      </c>
      <c r="N131" s="193" t="str">
        <f t="shared" si="16"/>
        <v>OK</v>
      </c>
      <c r="O131" s="15"/>
    </row>
    <row r="132" spans="2:15" ht="14.25" outlineLevel="2">
      <c r="B132" s="211" t="s">
        <v>322</v>
      </c>
      <c r="C132" s="214" t="s">
        <v>322</v>
      </c>
      <c r="D132" s="48" t="s">
        <v>254</v>
      </c>
      <c r="E132" s="192" t="e">
        <f>+IF(ROUND(#REF!+E37-E42+(E105-#REF!)+E110-E48,2)=0,"OK",ROUND(#REF!+E37-E42+(E105-#REF!)+E110-E48,2))</f>
        <v>#REF!</v>
      </c>
      <c r="F132" s="193" t="str">
        <f aca="true" t="shared" si="17" ref="F132:N132">+IF(ROUND(E48+F37-F42+(F105-E105)+F110-F48,2)=0,"OK",ROUND(E48+F37-F42+(F105-E105)+F110-F48,2))</f>
        <v>OK</v>
      </c>
      <c r="G132" s="193" t="str">
        <f t="shared" si="17"/>
        <v>OK</v>
      </c>
      <c r="H132" s="193" t="str">
        <f t="shared" si="17"/>
        <v>OK</v>
      </c>
      <c r="I132" s="193" t="str">
        <f t="shared" si="17"/>
        <v>OK</v>
      </c>
      <c r="J132" s="193" t="str">
        <f t="shared" si="17"/>
        <v>OK</v>
      </c>
      <c r="K132" s="193" t="str">
        <f t="shared" si="17"/>
        <v>OK</v>
      </c>
      <c r="L132" s="193" t="str">
        <f t="shared" si="17"/>
        <v>OK</v>
      </c>
      <c r="M132" s="193" t="str">
        <f t="shared" si="17"/>
        <v>OK</v>
      </c>
      <c r="N132" s="193" t="str">
        <f t="shared" si="17"/>
        <v>OK</v>
      </c>
      <c r="O132" s="15"/>
    </row>
    <row r="133" spans="2:15" ht="48" outlineLevel="2">
      <c r="B133" s="211" t="s">
        <v>323</v>
      </c>
      <c r="C133" s="214" t="s">
        <v>323</v>
      </c>
      <c r="D133" s="48" t="s">
        <v>327</v>
      </c>
      <c r="E133" s="193" t="e">
        <f>+IF(#REF!=0,"N/D",IF(ROUND(E105+E106-#REF!,2)=0,"OK",ROUND(E105+E106-#REF!,2)))</f>
        <v>#REF!</v>
      </c>
      <c r="F133" s="193" t="str">
        <f aca="true" t="shared" si="18" ref="F133:N133">+IF(E105=0,"N/D",IF(ROUND(F105+F106-E105,2)=0,"OK",ROUND(F105+F106-E105,2)))</f>
        <v>N/D</v>
      </c>
      <c r="G133" s="193" t="str">
        <f t="shared" si="18"/>
        <v>N/D</v>
      </c>
      <c r="H133" s="193" t="str">
        <f t="shared" si="18"/>
        <v>N/D</v>
      </c>
      <c r="I133" s="193" t="str">
        <f t="shared" si="18"/>
        <v>N/D</v>
      </c>
      <c r="J133" s="193" t="str">
        <f t="shared" si="18"/>
        <v>N/D</v>
      </c>
      <c r="K133" s="193" t="str">
        <f t="shared" si="18"/>
        <v>N/D</v>
      </c>
      <c r="L133" s="193" t="str">
        <f t="shared" si="18"/>
        <v>N/D</v>
      </c>
      <c r="M133" s="193" t="str">
        <f t="shared" si="18"/>
        <v>N/D</v>
      </c>
      <c r="N133" s="193" t="str">
        <f t="shared" si="18"/>
        <v>N/D</v>
      </c>
      <c r="O133" s="15"/>
    </row>
    <row r="134" spans="2:15" ht="36" outlineLevel="2">
      <c r="B134" s="211" t="s">
        <v>325</v>
      </c>
      <c r="C134" s="214" t="s">
        <v>325</v>
      </c>
      <c r="D134" s="48" t="s">
        <v>324</v>
      </c>
      <c r="E134" s="192" t="e">
        <f>+IF(#REF!=0,"N/D",IF(ROUND(E96+(E98+E99+E100+E101)-#REF!,2)=0,"OK",ROUND(E96+(E98+E99+E100+E101)-#REF!,2)))</f>
        <v>#REF!</v>
      </c>
      <c r="F134" s="193" t="str">
        <f aca="true" t="shared" si="19" ref="F134:N134">+IF(E96=0,"N/D",IF(ROUND(F96+(F98+F99+F100+F101)-E96,2)=0,"OK",ROUND(F96+(F98+F99+F100+F101)-E96,2)))</f>
        <v>N/D</v>
      </c>
      <c r="G134" s="193" t="str">
        <f t="shared" si="19"/>
        <v>N/D</v>
      </c>
      <c r="H134" s="193" t="str">
        <f t="shared" si="19"/>
        <v>N/D</v>
      </c>
      <c r="I134" s="193" t="str">
        <f t="shared" si="19"/>
        <v>N/D</v>
      </c>
      <c r="J134" s="193" t="str">
        <f t="shared" si="19"/>
        <v>N/D</v>
      </c>
      <c r="K134" s="193" t="str">
        <f t="shared" si="19"/>
        <v>N/D</v>
      </c>
      <c r="L134" s="193" t="str">
        <f t="shared" si="19"/>
        <v>N/D</v>
      </c>
      <c r="M134" s="193" t="str">
        <f t="shared" si="19"/>
        <v>N/D</v>
      </c>
      <c r="N134" s="193" t="str">
        <f t="shared" si="19"/>
        <v>N/D</v>
      </c>
      <c r="O134" s="15"/>
    </row>
    <row r="135" spans="2:15" ht="14.25" outlineLevel="1">
      <c r="B135" s="202" t="s">
        <v>208</v>
      </c>
      <c r="C135" s="242" t="s">
        <v>208</v>
      </c>
      <c r="D135" s="49" t="s">
        <v>255</v>
      </c>
      <c r="E135" s="189" t="str">
        <f aca="true" t="shared" si="20" ref="E135:N135">IF(E31&lt;0,IF(ROUND(E34+E36+E38+E40+E31,2)=0,"OK",ROUND(E34+E36+E38+E40+E31,2)),"N/D")</f>
        <v>OK</v>
      </c>
      <c r="F135" s="190" t="str">
        <f t="shared" si="20"/>
        <v>OK</v>
      </c>
      <c r="G135" s="190" t="str">
        <f t="shared" si="20"/>
        <v>N/D</v>
      </c>
      <c r="H135" s="190" t="str">
        <f t="shared" si="20"/>
        <v>N/D</v>
      </c>
      <c r="I135" s="190" t="str">
        <f t="shared" si="20"/>
        <v>N/D</v>
      </c>
      <c r="J135" s="190" t="str">
        <f t="shared" si="20"/>
        <v>N/D</v>
      </c>
      <c r="K135" s="190" t="str">
        <f t="shared" si="20"/>
        <v>N/D</v>
      </c>
      <c r="L135" s="190" t="str">
        <f t="shared" si="20"/>
        <v>N/D</v>
      </c>
      <c r="M135" s="190" t="str">
        <f t="shared" si="20"/>
        <v>N/D</v>
      </c>
      <c r="N135" s="190" t="str">
        <f t="shared" si="20"/>
        <v>N/D</v>
      </c>
      <c r="O135" s="15"/>
    </row>
    <row r="136" spans="2:15" ht="14.25" outlineLevel="2">
      <c r="B136" s="202" t="s">
        <v>209</v>
      </c>
      <c r="C136" s="242" t="s">
        <v>209</v>
      </c>
      <c r="D136" s="49" t="s">
        <v>256</v>
      </c>
      <c r="E136" s="189" t="str">
        <f aca="true" t="shared" si="21" ref="E136:N136">IF(E31&gt;=0,IF(ROUND(E34+E36+E38+E40,2)=0,"OK",ROUND(E34+E36+E38+E40,2)),"N/D")</f>
        <v>N/D</v>
      </c>
      <c r="F136" s="190" t="str">
        <f t="shared" si="21"/>
        <v>N/D</v>
      </c>
      <c r="G136" s="190" t="str">
        <f t="shared" si="21"/>
        <v>OK</v>
      </c>
      <c r="H136" s="190" t="str">
        <f t="shared" si="21"/>
        <v>OK</v>
      </c>
      <c r="I136" s="190" t="str">
        <f t="shared" si="21"/>
        <v>OK</v>
      </c>
      <c r="J136" s="190" t="str">
        <f t="shared" si="21"/>
        <v>OK</v>
      </c>
      <c r="K136" s="190" t="str">
        <f t="shared" si="21"/>
        <v>OK</v>
      </c>
      <c r="L136" s="190" t="str">
        <f t="shared" si="21"/>
        <v>OK</v>
      </c>
      <c r="M136" s="190" t="str">
        <f t="shared" si="21"/>
        <v>OK</v>
      </c>
      <c r="N136" s="190" t="str">
        <f t="shared" si="21"/>
        <v>OK</v>
      </c>
      <c r="O136" s="15"/>
    </row>
    <row r="137" spans="2:15" ht="14.25" outlineLevel="2">
      <c r="B137" s="202" t="s">
        <v>210</v>
      </c>
      <c r="C137" s="242" t="s">
        <v>210</v>
      </c>
      <c r="D137" s="49" t="s">
        <v>258</v>
      </c>
      <c r="E137" s="187" t="str">
        <f aca="true" t="shared" si="22" ref="E137:N137">IF(E14&gt;=E15,"OK","BŁĄD")</f>
        <v>OK</v>
      </c>
      <c r="F137" s="180" t="str">
        <f t="shared" si="22"/>
        <v>OK</v>
      </c>
      <c r="G137" s="180" t="str">
        <f t="shared" si="22"/>
        <v>OK</v>
      </c>
      <c r="H137" s="180" t="str">
        <f t="shared" si="22"/>
        <v>OK</v>
      </c>
      <c r="I137" s="180" t="str">
        <f t="shared" si="22"/>
        <v>OK</v>
      </c>
      <c r="J137" s="180" t="str">
        <f t="shared" si="22"/>
        <v>OK</v>
      </c>
      <c r="K137" s="180" t="str">
        <f t="shared" si="22"/>
        <v>OK</v>
      </c>
      <c r="L137" s="180" t="str">
        <f t="shared" si="22"/>
        <v>OK</v>
      </c>
      <c r="M137" s="180" t="str">
        <f t="shared" si="22"/>
        <v>OK</v>
      </c>
      <c r="N137" s="180" t="str">
        <f t="shared" si="22"/>
        <v>OK</v>
      </c>
      <c r="O137" s="15"/>
    </row>
    <row r="138" spans="2:15" ht="14.25" outlineLevel="2">
      <c r="B138" s="202" t="s">
        <v>211</v>
      </c>
      <c r="C138" s="242" t="s">
        <v>211</v>
      </c>
      <c r="D138" s="49" t="s">
        <v>259</v>
      </c>
      <c r="E138" s="187" t="str">
        <f aca="true" t="shared" si="23" ref="E138:N138">IF(E17&gt;=E97,"OK","BŁĄD")</f>
        <v>OK</v>
      </c>
      <c r="F138" s="180" t="str">
        <f t="shared" si="23"/>
        <v>OK</v>
      </c>
      <c r="G138" s="180" t="str">
        <f t="shared" si="23"/>
        <v>OK</v>
      </c>
      <c r="H138" s="180" t="str">
        <f t="shared" si="23"/>
        <v>OK</v>
      </c>
      <c r="I138" s="180" t="str">
        <f t="shared" si="23"/>
        <v>OK</v>
      </c>
      <c r="J138" s="180" t="str">
        <f t="shared" si="23"/>
        <v>OK</v>
      </c>
      <c r="K138" s="180" t="str">
        <f t="shared" si="23"/>
        <v>OK</v>
      </c>
      <c r="L138" s="180" t="str">
        <f t="shared" si="23"/>
        <v>OK</v>
      </c>
      <c r="M138" s="180" t="str">
        <f t="shared" si="23"/>
        <v>OK</v>
      </c>
      <c r="N138" s="180" t="str">
        <f t="shared" si="23"/>
        <v>OK</v>
      </c>
      <c r="O138" s="15"/>
    </row>
    <row r="139" spans="2:15" ht="14.25" outlineLevel="2">
      <c r="B139" s="202" t="s">
        <v>212</v>
      </c>
      <c r="C139" s="242" t="s">
        <v>212</v>
      </c>
      <c r="D139" s="49" t="s">
        <v>260</v>
      </c>
      <c r="E139" s="187" t="str">
        <f aca="true" t="shared" si="24" ref="E139:N139">IF(E11&gt;=E12+E13+E14+E16+E17,"OK","BŁĄD")</f>
        <v>OK</v>
      </c>
      <c r="F139" s="180" t="str">
        <f t="shared" si="24"/>
        <v>OK</v>
      </c>
      <c r="G139" s="180" t="str">
        <f t="shared" si="24"/>
        <v>OK</v>
      </c>
      <c r="H139" s="180" t="str">
        <f t="shared" si="24"/>
        <v>OK</v>
      </c>
      <c r="I139" s="180" t="str">
        <f t="shared" si="24"/>
        <v>OK</v>
      </c>
      <c r="J139" s="180" t="str">
        <f t="shared" si="24"/>
        <v>OK</v>
      </c>
      <c r="K139" s="180" t="str">
        <f t="shared" si="24"/>
        <v>OK</v>
      </c>
      <c r="L139" s="180" t="str">
        <f t="shared" si="24"/>
        <v>OK</v>
      </c>
      <c r="M139" s="180" t="str">
        <f t="shared" si="24"/>
        <v>OK</v>
      </c>
      <c r="N139" s="180" t="str">
        <f t="shared" si="24"/>
        <v>OK</v>
      </c>
      <c r="O139" s="15"/>
    </row>
    <row r="140" spans="2:15" ht="14.25" outlineLevel="2">
      <c r="B140" s="202" t="s">
        <v>213</v>
      </c>
      <c r="C140" s="242" t="s">
        <v>213</v>
      </c>
      <c r="D140" s="49" t="s">
        <v>261</v>
      </c>
      <c r="E140" s="187" t="str">
        <f aca="true" t="shared" si="25" ref="E140:N140">IF(E11&gt;=E75,"OK","BŁĄD")</f>
        <v>OK</v>
      </c>
      <c r="F140" s="180" t="str">
        <f t="shared" si="25"/>
        <v>OK</v>
      </c>
      <c r="G140" s="180" t="str">
        <f t="shared" si="25"/>
        <v>OK</v>
      </c>
      <c r="H140" s="180" t="str">
        <f t="shared" si="25"/>
        <v>OK</v>
      </c>
      <c r="I140" s="180" t="str">
        <f t="shared" si="25"/>
        <v>OK</v>
      </c>
      <c r="J140" s="180" t="str">
        <f t="shared" si="25"/>
        <v>OK</v>
      </c>
      <c r="K140" s="180" t="str">
        <f t="shared" si="25"/>
        <v>OK</v>
      </c>
      <c r="L140" s="180" t="str">
        <f t="shared" si="25"/>
        <v>OK</v>
      </c>
      <c r="M140" s="180" t="str">
        <f t="shared" si="25"/>
        <v>OK</v>
      </c>
      <c r="N140" s="180" t="str">
        <f t="shared" si="25"/>
        <v>OK</v>
      </c>
      <c r="O140" s="15"/>
    </row>
    <row r="141" spans="2:15" ht="14.25" outlineLevel="2">
      <c r="B141" s="202" t="s">
        <v>214</v>
      </c>
      <c r="C141" s="242" t="s">
        <v>214</v>
      </c>
      <c r="D141" s="49" t="s">
        <v>262</v>
      </c>
      <c r="E141" s="187" t="str">
        <f aca="true" t="shared" si="26" ref="E141:N141">IF(E18&gt;=E19,"OK","BŁĄD")</f>
        <v>OK</v>
      </c>
      <c r="F141" s="180" t="str">
        <f t="shared" si="26"/>
        <v>OK</v>
      </c>
      <c r="G141" s="180" t="str">
        <f t="shared" si="26"/>
        <v>OK</v>
      </c>
      <c r="H141" s="180" t="str">
        <f t="shared" si="26"/>
        <v>OK</v>
      </c>
      <c r="I141" s="180" t="str">
        <f t="shared" si="26"/>
        <v>OK</v>
      </c>
      <c r="J141" s="180" t="str">
        <f t="shared" si="26"/>
        <v>OK</v>
      </c>
      <c r="K141" s="180" t="str">
        <f t="shared" si="26"/>
        <v>OK</v>
      </c>
      <c r="L141" s="180" t="str">
        <f t="shared" si="26"/>
        <v>OK</v>
      </c>
      <c r="M141" s="180" t="str">
        <f t="shared" si="26"/>
        <v>OK</v>
      </c>
      <c r="N141" s="180" t="str">
        <f t="shared" si="26"/>
        <v>OK</v>
      </c>
      <c r="O141" s="15"/>
    </row>
    <row r="142" spans="2:15" ht="14.25" outlineLevel="2">
      <c r="B142" s="202" t="s">
        <v>215</v>
      </c>
      <c r="C142" s="242" t="s">
        <v>215</v>
      </c>
      <c r="D142" s="49" t="s">
        <v>263</v>
      </c>
      <c r="E142" s="187" t="str">
        <f aca="true" t="shared" si="27" ref="E142:N142">IF(E18&gt;=E20,"OK","BŁĄD")</f>
        <v>OK</v>
      </c>
      <c r="F142" s="180" t="str">
        <f t="shared" si="27"/>
        <v>OK</v>
      </c>
      <c r="G142" s="180" t="str">
        <f t="shared" si="27"/>
        <v>OK</v>
      </c>
      <c r="H142" s="180" t="str">
        <f t="shared" si="27"/>
        <v>OK</v>
      </c>
      <c r="I142" s="180" t="str">
        <f t="shared" si="27"/>
        <v>OK</v>
      </c>
      <c r="J142" s="180" t="str">
        <f t="shared" si="27"/>
        <v>OK</v>
      </c>
      <c r="K142" s="180" t="str">
        <f t="shared" si="27"/>
        <v>OK</v>
      </c>
      <c r="L142" s="180" t="str">
        <f t="shared" si="27"/>
        <v>OK</v>
      </c>
      <c r="M142" s="180" t="str">
        <f t="shared" si="27"/>
        <v>OK</v>
      </c>
      <c r="N142" s="180" t="str">
        <f t="shared" si="27"/>
        <v>OK</v>
      </c>
      <c r="O142" s="15"/>
    </row>
    <row r="143" spans="2:15" ht="14.25" outlineLevel="2">
      <c r="B143" s="202" t="s">
        <v>216</v>
      </c>
      <c r="C143" s="242" t="s">
        <v>216</v>
      </c>
      <c r="D143" s="49" t="s">
        <v>264</v>
      </c>
      <c r="E143" s="187" t="str">
        <f aca="true" t="shared" si="28" ref="E143:N143">IF(E18&gt;=E78,"OK","BŁĄD")</f>
        <v>OK</v>
      </c>
      <c r="F143" s="180" t="str">
        <f t="shared" si="28"/>
        <v>OK</v>
      </c>
      <c r="G143" s="180" t="str">
        <f t="shared" si="28"/>
        <v>OK</v>
      </c>
      <c r="H143" s="180" t="str">
        <f t="shared" si="28"/>
        <v>OK</v>
      </c>
      <c r="I143" s="180" t="str">
        <f t="shared" si="28"/>
        <v>OK</v>
      </c>
      <c r="J143" s="180" t="str">
        <f t="shared" si="28"/>
        <v>OK</v>
      </c>
      <c r="K143" s="180" t="str">
        <f t="shared" si="28"/>
        <v>OK</v>
      </c>
      <c r="L143" s="180" t="str">
        <f t="shared" si="28"/>
        <v>OK</v>
      </c>
      <c r="M143" s="180" t="str">
        <f t="shared" si="28"/>
        <v>OK</v>
      </c>
      <c r="N143" s="180" t="str">
        <f t="shared" si="28"/>
        <v>OK</v>
      </c>
      <c r="O143" s="15"/>
    </row>
    <row r="144" spans="1:14" s="237" customFormat="1" ht="14.25" outlineLevel="2">
      <c r="A144" s="243"/>
      <c r="B144" s="240"/>
      <c r="C144" s="242"/>
      <c r="D144" s="239" t="s">
        <v>331</v>
      </c>
      <c r="E144" s="187" t="str">
        <f aca="true" t="shared" si="29" ref="E144:N144">+IF(E31&gt;0,IF(E31=E63,"OK","Błąd"),"N/D")</f>
        <v>N/D</v>
      </c>
      <c r="F144" s="187" t="str">
        <f t="shared" si="29"/>
        <v>N/D</v>
      </c>
      <c r="G144" s="187" t="str">
        <f t="shared" si="29"/>
        <v>OK</v>
      </c>
      <c r="H144" s="187" t="str">
        <f t="shared" si="29"/>
        <v>OK</v>
      </c>
      <c r="I144" s="187" t="str">
        <f t="shared" si="29"/>
        <v>OK</v>
      </c>
      <c r="J144" s="187" t="str">
        <f t="shared" si="29"/>
        <v>OK</v>
      </c>
      <c r="K144" s="187" t="str">
        <f t="shared" si="29"/>
        <v>OK</v>
      </c>
      <c r="L144" s="187" t="str">
        <f t="shared" si="29"/>
        <v>OK</v>
      </c>
      <c r="M144" s="187" t="str">
        <f t="shared" si="29"/>
        <v>OK</v>
      </c>
      <c r="N144" s="187" t="str">
        <f t="shared" si="29"/>
        <v>N/D</v>
      </c>
    </row>
    <row r="145" spans="2:15" ht="14.25" outlineLevel="2">
      <c r="B145" s="202" t="s">
        <v>217</v>
      </c>
      <c r="C145" s="242" t="s">
        <v>217</v>
      </c>
      <c r="D145" s="49" t="s">
        <v>265</v>
      </c>
      <c r="E145" s="187" t="str">
        <f aca="true" t="shared" si="30" ref="E145:N145">IF(E63&gt;=E64,"OK","BŁĄD")</f>
        <v>OK</v>
      </c>
      <c r="F145" s="180" t="str">
        <f t="shared" si="30"/>
        <v>OK</v>
      </c>
      <c r="G145" s="180" t="str">
        <f t="shared" si="30"/>
        <v>OK</v>
      </c>
      <c r="H145" s="180" t="str">
        <f t="shared" si="30"/>
        <v>OK</v>
      </c>
      <c r="I145" s="180" t="str">
        <f t="shared" si="30"/>
        <v>OK</v>
      </c>
      <c r="J145" s="180" t="str">
        <f t="shared" si="30"/>
        <v>OK</v>
      </c>
      <c r="K145" s="180" t="str">
        <f t="shared" si="30"/>
        <v>OK</v>
      </c>
      <c r="L145" s="180" t="str">
        <f t="shared" si="30"/>
        <v>OK</v>
      </c>
      <c r="M145" s="180" t="str">
        <f t="shared" si="30"/>
        <v>OK</v>
      </c>
      <c r="N145" s="180" t="str">
        <f t="shared" si="30"/>
        <v>OK</v>
      </c>
      <c r="O145" s="15"/>
    </row>
    <row r="146" spans="1:14" s="45" customFormat="1" ht="14.25" outlineLevel="2">
      <c r="A146" s="213"/>
      <c r="B146" s="202"/>
      <c r="C146" s="242" t="s">
        <v>330</v>
      </c>
      <c r="D146" s="49" t="s">
        <v>329</v>
      </c>
      <c r="E146" s="187" t="str">
        <f aca="true" t="shared" si="31" ref="E146:N146">IF(E63&gt;0,IF(E64&gt;0,"OK","BŁĄD"),"N/D")</f>
        <v>N/D</v>
      </c>
      <c r="F146" s="180" t="str">
        <f t="shared" si="31"/>
        <v>N/D</v>
      </c>
      <c r="G146" s="180" t="str">
        <f t="shared" si="31"/>
        <v>OK</v>
      </c>
      <c r="H146" s="180" t="str">
        <f t="shared" si="31"/>
        <v>OK</v>
      </c>
      <c r="I146" s="180" t="str">
        <f t="shared" si="31"/>
        <v>OK</v>
      </c>
      <c r="J146" s="180" t="str">
        <f t="shared" si="31"/>
        <v>OK</v>
      </c>
      <c r="K146" s="180" t="str">
        <f t="shared" si="31"/>
        <v>OK</v>
      </c>
      <c r="L146" s="180" t="str">
        <f t="shared" si="31"/>
        <v>OK</v>
      </c>
      <c r="M146" s="180" t="str">
        <f t="shared" si="31"/>
        <v>OK</v>
      </c>
      <c r="N146" s="180" t="str">
        <f t="shared" si="31"/>
        <v>N/D</v>
      </c>
    </row>
    <row r="147" spans="2:15" ht="14.25" outlineLevel="2">
      <c r="B147" s="202" t="s">
        <v>219</v>
      </c>
      <c r="C147" s="242" t="s">
        <v>219</v>
      </c>
      <c r="D147" s="49" t="s">
        <v>267</v>
      </c>
      <c r="E147" s="187" t="str">
        <f aca="true" t="shared" si="32" ref="E147:N147">IF(E75&gt;=E76,"OK","BŁĄD")</f>
        <v>OK</v>
      </c>
      <c r="F147" s="180" t="str">
        <f t="shared" si="32"/>
        <v>OK</v>
      </c>
      <c r="G147" s="180" t="str">
        <f t="shared" si="32"/>
        <v>OK</v>
      </c>
      <c r="H147" s="180" t="str">
        <f t="shared" si="32"/>
        <v>OK</v>
      </c>
      <c r="I147" s="180" t="str">
        <f t="shared" si="32"/>
        <v>OK</v>
      </c>
      <c r="J147" s="180" t="str">
        <f t="shared" si="32"/>
        <v>OK</v>
      </c>
      <c r="K147" s="180" t="str">
        <f t="shared" si="32"/>
        <v>OK</v>
      </c>
      <c r="L147" s="180" t="str">
        <f t="shared" si="32"/>
        <v>OK</v>
      </c>
      <c r="M147" s="180" t="str">
        <f t="shared" si="32"/>
        <v>OK</v>
      </c>
      <c r="N147" s="180" t="str">
        <f t="shared" si="32"/>
        <v>OK</v>
      </c>
      <c r="O147" s="15"/>
    </row>
    <row r="148" spans="2:15" ht="14.25" outlineLevel="2">
      <c r="B148" s="202" t="s">
        <v>218</v>
      </c>
      <c r="C148" s="242" t="s">
        <v>218</v>
      </c>
      <c r="D148" s="49" t="s">
        <v>266</v>
      </c>
      <c r="E148" s="187" t="str">
        <f aca="true" t="shared" si="33" ref="E148:N148">IF(E76&gt;=E77,"OK","BŁĄD")</f>
        <v>OK</v>
      </c>
      <c r="F148" s="180" t="str">
        <f t="shared" si="33"/>
        <v>OK</v>
      </c>
      <c r="G148" s="180" t="str">
        <f t="shared" si="33"/>
        <v>OK</v>
      </c>
      <c r="H148" s="180" t="str">
        <f t="shared" si="33"/>
        <v>OK</v>
      </c>
      <c r="I148" s="180" t="str">
        <f t="shared" si="33"/>
        <v>OK</v>
      </c>
      <c r="J148" s="180" t="str">
        <f t="shared" si="33"/>
        <v>OK</v>
      </c>
      <c r="K148" s="180" t="str">
        <f t="shared" si="33"/>
        <v>OK</v>
      </c>
      <c r="L148" s="180" t="str">
        <f t="shared" si="33"/>
        <v>OK</v>
      </c>
      <c r="M148" s="180" t="str">
        <f t="shared" si="33"/>
        <v>OK</v>
      </c>
      <c r="N148" s="180" t="str">
        <f t="shared" si="33"/>
        <v>OK</v>
      </c>
      <c r="O148" s="15"/>
    </row>
    <row r="149" spans="2:15" ht="14.25" outlineLevel="2">
      <c r="B149" s="202" t="s">
        <v>221</v>
      </c>
      <c r="C149" s="242" t="s">
        <v>221</v>
      </c>
      <c r="D149" s="49" t="s">
        <v>269</v>
      </c>
      <c r="E149" s="187" t="str">
        <f aca="true" t="shared" si="34" ref="E149:N149">IF(E78&gt;=E79,"OK","BŁĄD")</f>
        <v>OK</v>
      </c>
      <c r="F149" s="180" t="str">
        <f t="shared" si="34"/>
        <v>OK</v>
      </c>
      <c r="G149" s="180" t="str">
        <f t="shared" si="34"/>
        <v>OK</v>
      </c>
      <c r="H149" s="180" t="str">
        <f t="shared" si="34"/>
        <v>OK</v>
      </c>
      <c r="I149" s="180" t="str">
        <f t="shared" si="34"/>
        <v>OK</v>
      </c>
      <c r="J149" s="180" t="str">
        <f t="shared" si="34"/>
        <v>OK</v>
      </c>
      <c r="K149" s="180" t="str">
        <f t="shared" si="34"/>
        <v>OK</v>
      </c>
      <c r="L149" s="180" t="str">
        <f t="shared" si="34"/>
        <v>OK</v>
      </c>
      <c r="M149" s="180" t="str">
        <f t="shared" si="34"/>
        <v>OK</v>
      </c>
      <c r="N149" s="180" t="str">
        <f t="shared" si="34"/>
        <v>OK</v>
      </c>
      <c r="O149" s="15"/>
    </row>
    <row r="150" spans="2:15" ht="14.25" outlineLevel="2">
      <c r="B150" s="202" t="s">
        <v>220</v>
      </c>
      <c r="C150" s="242" t="s">
        <v>220</v>
      </c>
      <c r="D150" s="49" t="s">
        <v>268</v>
      </c>
      <c r="E150" s="187" t="str">
        <f aca="true" t="shared" si="35" ref="E150:N150">IF(E79&gt;=E80,"OK","BŁĄD")</f>
        <v>OK</v>
      </c>
      <c r="F150" s="180" t="str">
        <f t="shared" si="35"/>
        <v>OK</v>
      </c>
      <c r="G150" s="180" t="str">
        <f t="shared" si="35"/>
        <v>OK</v>
      </c>
      <c r="H150" s="180" t="str">
        <f t="shared" si="35"/>
        <v>OK</v>
      </c>
      <c r="I150" s="180" t="str">
        <f t="shared" si="35"/>
        <v>OK</v>
      </c>
      <c r="J150" s="180" t="str">
        <f t="shared" si="35"/>
        <v>OK</v>
      </c>
      <c r="K150" s="180" t="str">
        <f t="shared" si="35"/>
        <v>OK</v>
      </c>
      <c r="L150" s="180" t="str">
        <f t="shared" si="35"/>
        <v>OK</v>
      </c>
      <c r="M150" s="180" t="str">
        <f t="shared" si="35"/>
        <v>OK</v>
      </c>
      <c r="N150" s="180" t="str">
        <f t="shared" si="35"/>
        <v>OK</v>
      </c>
      <c r="O150" s="15"/>
    </row>
    <row r="151" spans="2:15" ht="14.25" outlineLevel="2">
      <c r="B151" s="202" t="s">
        <v>222</v>
      </c>
      <c r="C151" s="242" t="s">
        <v>222</v>
      </c>
      <c r="D151" s="49" t="s">
        <v>270</v>
      </c>
      <c r="E151" s="187" t="str">
        <f aca="true" t="shared" si="36" ref="E151:N151">IF(E81&gt;=E82,"OK","BŁĄD")</f>
        <v>OK</v>
      </c>
      <c r="F151" s="180" t="str">
        <f t="shared" si="36"/>
        <v>OK</v>
      </c>
      <c r="G151" s="180" t="str">
        <f t="shared" si="36"/>
        <v>OK</v>
      </c>
      <c r="H151" s="180" t="str">
        <f t="shared" si="36"/>
        <v>OK</v>
      </c>
      <c r="I151" s="180" t="str">
        <f t="shared" si="36"/>
        <v>OK</v>
      </c>
      <c r="J151" s="180" t="str">
        <f t="shared" si="36"/>
        <v>OK</v>
      </c>
      <c r="K151" s="180" t="str">
        <f t="shared" si="36"/>
        <v>OK</v>
      </c>
      <c r="L151" s="180" t="str">
        <f t="shared" si="36"/>
        <v>OK</v>
      </c>
      <c r="M151" s="180" t="str">
        <f t="shared" si="36"/>
        <v>OK</v>
      </c>
      <c r="N151" s="180" t="str">
        <f t="shared" si="36"/>
        <v>OK</v>
      </c>
      <c r="O151" s="15"/>
    </row>
    <row r="152" spans="2:15" ht="14.25" outlineLevel="2">
      <c r="B152" s="202" t="s">
        <v>223</v>
      </c>
      <c r="C152" s="242" t="s">
        <v>223</v>
      </c>
      <c r="D152" s="49" t="s">
        <v>271</v>
      </c>
      <c r="E152" s="187" t="str">
        <f aca="true" t="shared" si="37" ref="E152:N152">IF(E81&gt;=E83,"OK","BŁĄD")</f>
        <v>OK</v>
      </c>
      <c r="F152" s="180" t="str">
        <f t="shared" si="37"/>
        <v>OK</v>
      </c>
      <c r="G152" s="180" t="str">
        <f t="shared" si="37"/>
        <v>OK</v>
      </c>
      <c r="H152" s="180" t="str">
        <f t="shared" si="37"/>
        <v>OK</v>
      </c>
      <c r="I152" s="180" t="str">
        <f t="shared" si="37"/>
        <v>OK</v>
      </c>
      <c r="J152" s="180" t="str">
        <f t="shared" si="37"/>
        <v>OK</v>
      </c>
      <c r="K152" s="180" t="str">
        <f t="shared" si="37"/>
        <v>OK</v>
      </c>
      <c r="L152" s="180" t="str">
        <f t="shared" si="37"/>
        <v>OK</v>
      </c>
      <c r="M152" s="180" t="str">
        <f t="shared" si="37"/>
        <v>OK</v>
      </c>
      <c r="N152" s="180" t="str">
        <f t="shared" si="37"/>
        <v>OK</v>
      </c>
      <c r="O152" s="15"/>
    </row>
    <row r="153" spans="2:15" ht="14.25" outlineLevel="2">
      <c r="B153" s="202" t="s">
        <v>224</v>
      </c>
      <c r="C153" s="242" t="s">
        <v>224</v>
      </c>
      <c r="D153" s="49" t="s">
        <v>272</v>
      </c>
      <c r="E153" s="187" t="str">
        <f aca="true" t="shared" si="38" ref="E153:N153">IF(E84&gt;=E85,"OK","BŁĄD")</f>
        <v>OK</v>
      </c>
      <c r="F153" s="180" t="str">
        <f t="shared" si="38"/>
        <v>OK</v>
      </c>
      <c r="G153" s="180" t="str">
        <f t="shared" si="38"/>
        <v>OK</v>
      </c>
      <c r="H153" s="180" t="str">
        <f t="shared" si="38"/>
        <v>OK</v>
      </c>
      <c r="I153" s="180" t="str">
        <f t="shared" si="38"/>
        <v>OK</v>
      </c>
      <c r="J153" s="180" t="str">
        <f t="shared" si="38"/>
        <v>OK</v>
      </c>
      <c r="K153" s="180" t="str">
        <f t="shared" si="38"/>
        <v>OK</v>
      </c>
      <c r="L153" s="180" t="str">
        <f t="shared" si="38"/>
        <v>OK</v>
      </c>
      <c r="M153" s="180" t="str">
        <f t="shared" si="38"/>
        <v>OK</v>
      </c>
      <c r="N153" s="180" t="str">
        <f t="shared" si="38"/>
        <v>OK</v>
      </c>
      <c r="O153" s="15"/>
    </row>
    <row r="154" spans="2:15" ht="14.25" outlineLevel="2">
      <c r="B154" s="202" t="s">
        <v>225</v>
      </c>
      <c r="C154" s="242" t="s">
        <v>225</v>
      </c>
      <c r="D154" s="49" t="s">
        <v>273</v>
      </c>
      <c r="E154" s="187" t="str">
        <f aca="true" t="shared" si="39" ref="E154:N154">IF(E84&gt;=E86,"OK","BŁĄD")</f>
        <v>OK</v>
      </c>
      <c r="F154" s="180" t="str">
        <f t="shared" si="39"/>
        <v>OK</v>
      </c>
      <c r="G154" s="180" t="str">
        <f t="shared" si="39"/>
        <v>OK</v>
      </c>
      <c r="H154" s="180" t="str">
        <f t="shared" si="39"/>
        <v>OK</v>
      </c>
      <c r="I154" s="180" t="str">
        <f t="shared" si="39"/>
        <v>OK</v>
      </c>
      <c r="J154" s="180" t="str">
        <f t="shared" si="39"/>
        <v>OK</v>
      </c>
      <c r="K154" s="180" t="str">
        <f t="shared" si="39"/>
        <v>OK</v>
      </c>
      <c r="L154" s="180" t="str">
        <f t="shared" si="39"/>
        <v>OK</v>
      </c>
      <c r="M154" s="180" t="str">
        <f t="shared" si="39"/>
        <v>OK</v>
      </c>
      <c r="N154" s="180" t="str">
        <f t="shared" si="39"/>
        <v>OK</v>
      </c>
      <c r="O154" s="15"/>
    </row>
    <row r="155" spans="1:14" s="237" customFormat="1" ht="14.25" outlineLevel="2">
      <c r="A155" s="243"/>
      <c r="B155" s="240" t="s">
        <v>224</v>
      </c>
      <c r="C155" s="242" t="s">
        <v>224</v>
      </c>
      <c r="D155" s="239" t="s">
        <v>399</v>
      </c>
      <c r="E155" s="187" t="str">
        <f>IF(E87&gt;=E88,"OK","BŁĄD")</f>
        <v>OK</v>
      </c>
      <c r="F155" s="180" t="str">
        <f aca="true" t="shared" si="40" ref="F155:N155">IF(F87&gt;=F88,"OK","BŁĄD")</f>
        <v>OK</v>
      </c>
      <c r="G155" s="180" t="str">
        <f t="shared" si="40"/>
        <v>OK</v>
      </c>
      <c r="H155" s="180" t="str">
        <f t="shared" si="40"/>
        <v>OK</v>
      </c>
      <c r="I155" s="180" t="str">
        <f t="shared" si="40"/>
        <v>OK</v>
      </c>
      <c r="J155" s="180" t="str">
        <f t="shared" si="40"/>
        <v>OK</v>
      </c>
      <c r="K155" s="180" t="str">
        <f t="shared" si="40"/>
        <v>OK</v>
      </c>
      <c r="L155" s="180" t="str">
        <f t="shared" si="40"/>
        <v>OK</v>
      </c>
      <c r="M155" s="180" t="str">
        <f t="shared" si="40"/>
        <v>OK</v>
      </c>
      <c r="N155" s="180" t="str">
        <f t="shared" si="40"/>
        <v>OK</v>
      </c>
    </row>
    <row r="156" spans="1:14" s="237" customFormat="1" ht="14.25" outlineLevel="2">
      <c r="A156" s="243"/>
      <c r="B156" s="240" t="s">
        <v>224</v>
      </c>
      <c r="C156" s="242" t="s">
        <v>224</v>
      </c>
      <c r="D156" s="239" t="s">
        <v>400</v>
      </c>
      <c r="E156" s="187" t="str">
        <f>IF(E89&gt;=E90,"OK","BŁĄD")</f>
        <v>OK</v>
      </c>
      <c r="F156" s="180" t="str">
        <f aca="true" t="shared" si="41" ref="F156:N156">IF(F89&gt;=F90,"OK","BŁĄD")</f>
        <v>OK</v>
      </c>
      <c r="G156" s="180" t="str">
        <f t="shared" si="41"/>
        <v>OK</v>
      </c>
      <c r="H156" s="180" t="str">
        <f t="shared" si="41"/>
        <v>OK</v>
      </c>
      <c r="I156" s="180" t="str">
        <f t="shared" si="41"/>
        <v>OK</v>
      </c>
      <c r="J156" s="180" t="str">
        <f t="shared" si="41"/>
        <v>OK</v>
      </c>
      <c r="K156" s="180" t="str">
        <f t="shared" si="41"/>
        <v>OK</v>
      </c>
      <c r="L156" s="180" t="str">
        <f t="shared" si="41"/>
        <v>OK</v>
      </c>
      <c r="M156" s="180" t="str">
        <f t="shared" si="41"/>
        <v>OK</v>
      </c>
      <c r="N156" s="180" t="str">
        <f t="shared" si="41"/>
        <v>OK</v>
      </c>
    </row>
    <row r="157" spans="1:14" s="237" customFormat="1" ht="14.25" outlineLevel="2">
      <c r="A157" s="243"/>
      <c r="B157" s="240" t="s">
        <v>224</v>
      </c>
      <c r="C157" s="242" t="s">
        <v>224</v>
      </c>
      <c r="D157" s="239" t="s">
        <v>401</v>
      </c>
      <c r="E157" s="187" t="str">
        <f>IF(E91&gt;=E92,"OK","BŁĄD")</f>
        <v>OK</v>
      </c>
      <c r="F157" s="180" t="str">
        <f aca="true" t="shared" si="42" ref="F157:N157">IF(F91&gt;=F92,"OK","BŁĄD")</f>
        <v>OK</v>
      </c>
      <c r="G157" s="180" t="str">
        <f t="shared" si="42"/>
        <v>OK</v>
      </c>
      <c r="H157" s="180" t="str">
        <f t="shared" si="42"/>
        <v>OK</v>
      </c>
      <c r="I157" s="180" t="str">
        <f t="shared" si="42"/>
        <v>OK</v>
      </c>
      <c r="J157" s="180" t="str">
        <f t="shared" si="42"/>
        <v>OK</v>
      </c>
      <c r="K157" s="180" t="str">
        <f t="shared" si="42"/>
        <v>OK</v>
      </c>
      <c r="L157" s="180" t="str">
        <f t="shared" si="42"/>
        <v>OK</v>
      </c>
      <c r="M157" s="180" t="str">
        <f t="shared" si="42"/>
        <v>OK</v>
      </c>
      <c r="N157" s="180" t="str">
        <f t="shared" si="42"/>
        <v>OK</v>
      </c>
    </row>
    <row r="158" spans="1:14" s="237" customFormat="1" ht="14.25" outlineLevel="2">
      <c r="A158" s="243"/>
      <c r="B158" s="240" t="s">
        <v>224</v>
      </c>
      <c r="C158" s="242" t="s">
        <v>224</v>
      </c>
      <c r="D158" s="239" t="s">
        <v>402</v>
      </c>
      <c r="E158" s="187" t="str">
        <f>IF(E93&gt;=E94,"OK","BŁĄD")</f>
        <v>OK</v>
      </c>
      <c r="F158" s="180" t="str">
        <f aca="true" t="shared" si="43" ref="F158:N158">IF(F93&gt;=F94,"OK","BŁĄD")</f>
        <v>OK</v>
      </c>
      <c r="G158" s="180" t="str">
        <f t="shared" si="43"/>
        <v>OK</v>
      </c>
      <c r="H158" s="180" t="str">
        <f t="shared" si="43"/>
        <v>OK</v>
      </c>
      <c r="I158" s="180" t="str">
        <f t="shared" si="43"/>
        <v>OK</v>
      </c>
      <c r="J158" s="180" t="str">
        <f t="shared" si="43"/>
        <v>OK</v>
      </c>
      <c r="K158" s="180" t="str">
        <f t="shared" si="43"/>
        <v>OK</v>
      </c>
      <c r="L158" s="180" t="str">
        <f t="shared" si="43"/>
        <v>OK</v>
      </c>
      <c r="M158" s="180" t="str">
        <f t="shared" si="43"/>
        <v>OK</v>
      </c>
      <c r="N158" s="180" t="str">
        <f t="shared" si="43"/>
        <v>OK</v>
      </c>
    </row>
    <row r="159" spans="2:15" ht="14.25" outlineLevel="2">
      <c r="B159" s="202" t="s">
        <v>226</v>
      </c>
      <c r="C159" s="242" t="s">
        <v>226</v>
      </c>
      <c r="D159" s="239" t="s">
        <v>274</v>
      </c>
      <c r="E159" s="187" t="str">
        <f aca="true" t="shared" si="44" ref="E159:N159">IF(E96&gt;=E98,"OK","BŁĄD")</f>
        <v>OK</v>
      </c>
      <c r="F159" s="180" t="str">
        <f t="shared" si="44"/>
        <v>OK</v>
      </c>
      <c r="G159" s="180" t="str">
        <f t="shared" si="44"/>
        <v>OK</v>
      </c>
      <c r="H159" s="180" t="str">
        <f t="shared" si="44"/>
        <v>OK</v>
      </c>
      <c r="I159" s="180" t="str">
        <f t="shared" si="44"/>
        <v>OK</v>
      </c>
      <c r="J159" s="180" t="str">
        <f t="shared" si="44"/>
        <v>OK</v>
      </c>
      <c r="K159" s="180" t="str">
        <f t="shared" si="44"/>
        <v>OK</v>
      </c>
      <c r="L159" s="180" t="str">
        <f t="shared" si="44"/>
        <v>OK</v>
      </c>
      <c r="M159" s="180" t="str">
        <f t="shared" si="44"/>
        <v>OK</v>
      </c>
      <c r="N159" s="180" t="str">
        <f t="shared" si="44"/>
        <v>OK</v>
      </c>
      <c r="O159" s="15"/>
    </row>
    <row r="160" spans="2:15" ht="14.25" outlineLevel="2">
      <c r="B160" s="202" t="s">
        <v>227</v>
      </c>
      <c r="C160" s="242" t="s">
        <v>227</v>
      </c>
      <c r="D160" s="49" t="s">
        <v>275</v>
      </c>
      <c r="E160" s="187" t="str">
        <f aca="true" t="shared" si="45" ref="E160:N160">IF(E99&gt;=E25,"OK","BŁĄD")</f>
        <v>OK</v>
      </c>
      <c r="F160" s="180" t="str">
        <f t="shared" si="45"/>
        <v>OK</v>
      </c>
      <c r="G160" s="180" t="str">
        <f t="shared" si="45"/>
        <v>OK</v>
      </c>
      <c r="H160" s="180" t="str">
        <f t="shared" si="45"/>
        <v>OK</v>
      </c>
      <c r="I160" s="180" t="str">
        <f t="shared" si="45"/>
        <v>OK</v>
      </c>
      <c r="J160" s="180" t="str">
        <f t="shared" si="45"/>
        <v>OK</v>
      </c>
      <c r="K160" s="180" t="str">
        <f t="shared" si="45"/>
        <v>OK</v>
      </c>
      <c r="L160" s="180" t="str">
        <f t="shared" si="45"/>
        <v>OK</v>
      </c>
      <c r="M160" s="180" t="str">
        <f t="shared" si="45"/>
        <v>OK</v>
      </c>
      <c r="N160" s="180" t="str">
        <f t="shared" si="45"/>
        <v>OK</v>
      </c>
      <c r="O160" s="15"/>
    </row>
    <row r="161" spans="2:15" ht="14.25" outlineLevel="2">
      <c r="B161" s="202" t="s">
        <v>228</v>
      </c>
      <c r="C161" s="242" t="s">
        <v>228</v>
      </c>
      <c r="D161" s="49" t="s">
        <v>276</v>
      </c>
      <c r="E161" s="187" t="str">
        <f aca="true" t="shared" si="46" ref="E161:N161">IF(E106&gt;=(E107+E108+E109),"OK","BŁĄD")</f>
        <v>OK</v>
      </c>
      <c r="F161" s="180" t="str">
        <f t="shared" si="46"/>
        <v>OK</v>
      </c>
      <c r="G161" s="180" t="str">
        <f t="shared" si="46"/>
        <v>OK</v>
      </c>
      <c r="H161" s="180" t="str">
        <f t="shared" si="46"/>
        <v>OK</v>
      </c>
      <c r="I161" s="180" t="str">
        <f t="shared" si="46"/>
        <v>OK</v>
      </c>
      <c r="J161" s="180" t="str">
        <f t="shared" si="46"/>
        <v>OK</v>
      </c>
      <c r="K161" s="180" t="str">
        <f t="shared" si="46"/>
        <v>OK</v>
      </c>
      <c r="L161" s="180" t="str">
        <f t="shared" si="46"/>
        <v>OK</v>
      </c>
      <c r="M161" s="180" t="str">
        <f t="shared" si="46"/>
        <v>OK</v>
      </c>
      <c r="N161" s="180" t="str">
        <f t="shared" si="46"/>
        <v>OK</v>
      </c>
      <c r="O161" s="15"/>
    </row>
    <row r="162" spans="1:14" s="237" customFormat="1" ht="14.25" outlineLevel="2">
      <c r="A162" s="243"/>
      <c r="B162" s="240" t="s">
        <v>226</v>
      </c>
      <c r="C162" s="242" t="s">
        <v>226</v>
      </c>
      <c r="D162" s="239" t="s">
        <v>404</v>
      </c>
      <c r="E162" s="187" t="str">
        <f>IF(E112&gt;=E113,"OK","BŁĄD")</f>
        <v>OK</v>
      </c>
      <c r="F162" s="180" t="str">
        <f aca="true" t="shared" si="47" ref="F162:N162">IF(F112&gt;=F113,"OK","BŁĄD")</f>
        <v>OK</v>
      </c>
      <c r="G162" s="180" t="str">
        <f t="shared" si="47"/>
        <v>OK</v>
      </c>
      <c r="H162" s="180" t="str">
        <f t="shared" si="47"/>
        <v>OK</v>
      </c>
      <c r="I162" s="180" t="str">
        <f t="shared" si="47"/>
        <v>OK</v>
      </c>
      <c r="J162" s="180" t="str">
        <f t="shared" si="47"/>
        <v>OK</v>
      </c>
      <c r="K162" s="180" t="str">
        <f t="shared" si="47"/>
        <v>OK</v>
      </c>
      <c r="L162" s="180" t="str">
        <f t="shared" si="47"/>
        <v>OK</v>
      </c>
      <c r="M162" s="180" t="str">
        <f t="shared" si="47"/>
        <v>OK</v>
      </c>
      <c r="N162" s="180" t="str">
        <f t="shared" si="47"/>
        <v>OK</v>
      </c>
    </row>
    <row r="163" spans="2:15" ht="14.25" outlineLevel="2">
      <c r="B163" s="202" t="s">
        <v>230</v>
      </c>
      <c r="C163" s="242" t="s">
        <v>230</v>
      </c>
      <c r="D163" s="49" t="s">
        <v>278</v>
      </c>
      <c r="E163" s="187" t="str">
        <f aca="true" t="shared" si="48" ref="E163:N163">IF(E23&gt;=E24,"OK","BŁĄD")</f>
        <v>OK</v>
      </c>
      <c r="F163" s="180" t="str">
        <f t="shared" si="48"/>
        <v>OK</v>
      </c>
      <c r="G163" s="180" t="str">
        <f t="shared" si="48"/>
        <v>OK</v>
      </c>
      <c r="H163" s="180" t="str">
        <f t="shared" si="48"/>
        <v>OK</v>
      </c>
      <c r="I163" s="180" t="str">
        <f t="shared" si="48"/>
        <v>OK</v>
      </c>
      <c r="J163" s="180" t="str">
        <f t="shared" si="48"/>
        <v>OK</v>
      </c>
      <c r="K163" s="180" t="str">
        <f t="shared" si="48"/>
        <v>OK</v>
      </c>
      <c r="L163" s="180" t="str">
        <f t="shared" si="48"/>
        <v>OK</v>
      </c>
      <c r="M163" s="180" t="str">
        <f t="shared" si="48"/>
        <v>OK</v>
      </c>
      <c r="N163" s="180" t="str">
        <f t="shared" si="48"/>
        <v>OK</v>
      </c>
      <c r="O163" s="15"/>
    </row>
    <row r="164" spans="2:15" ht="14.25" outlineLevel="2">
      <c r="B164" s="202" t="s">
        <v>229</v>
      </c>
      <c r="C164" s="242" t="s">
        <v>229</v>
      </c>
      <c r="D164" s="49" t="s">
        <v>277</v>
      </c>
      <c r="E164" s="187" t="str">
        <f aca="true" t="shared" si="49" ref="E164:N164">IF(E23&gt;=E109,"OK","BŁĄD")</f>
        <v>OK</v>
      </c>
      <c r="F164" s="180" t="str">
        <f t="shared" si="49"/>
        <v>OK</v>
      </c>
      <c r="G164" s="180" t="str">
        <f t="shared" si="49"/>
        <v>OK</v>
      </c>
      <c r="H164" s="180" t="str">
        <f t="shared" si="49"/>
        <v>OK</v>
      </c>
      <c r="I164" s="180" t="str">
        <f t="shared" si="49"/>
        <v>OK</v>
      </c>
      <c r="J164" s="180" t="str">
        <f t="shared" si="49"/>
        <v>OK</v>
      </c>
      <c r="K164" s="180" t="str">
        <f t="shared" si="49"/>
        <v>OK</v>
      </c>
      <c r="L164" s="180" t="str">
        <f t="shared" si="49"/>
        <v>OK</v>
      </c>
      <c r="M164" s="180" t="str">
        <f t="shared" si="49"/>
        <v>OK</v>
      </c>
      <c r="N164" s="180" t="str">
        <f t="shared" si="49"/>
        <v>OK</v>
      </c>
      <c r="O164" s="15"/>
    </row>
    <row r="165" spans="2:15" ht="14.25" outlineLevel="2">
      <c r="B165" s="202" t="s">
        <v>231</v>
      </c>
      <c r="C165" s="242" t="s">
        <v>231</v>
      </c>
      <c r="D165" s="49" t="s">
        <v>279</v>
      </c>
      <c r="E165" s="187" t="str">
        <f aca="true" t="shared" si="50" ref="E165:N165">IF(E26&gt;=E27,"OK","BŁĄD")</f>
        <v>OK</v>
      </c>
      <c r="F165" s="180" t="str">
        <f t="shared" si="50"/>
        <v>OK</v>
      </c>
      <c r="G165" s="180" t="str">
        <f t="shared" si="50"/>
        <v>OK</v>
      </c>
      <c r="H165" s="180" t="str">
        <f t="shared" si="50"/>
        <v>OK</v>
      </c>
      <c r="I165" s="180" t="str">
        <f t="shared" si="50"/>
        <v>OK</v>
      </c>
      <c r="J165" s="180" t="str">
        <f t="shared" si="50"/>
        <v>OK</v>
      </c>
      <c r="K165" s="180" t="str">
        <f t="shared" si="50"/>
        <v>OK</v>
      </c>
      <c r="L165" s="180" t="str">
        <f t="shared" si="50"/>
        <v>OK</v>
      </c>
      <c r="M165" s="180" t="str">
        <f t="shared" si="50"/>
        <v>OK</v>
      </c>
      <c r="N165" s="180" t="str">
        <f t="shared" si="50"/>
        <v>OK</v>
      </c>
      <c r="O165" s="15"/>
    </row>
    <row r="166" spans="1:14" s="237" customFormat="1" ht="14.25" outlineLevel="2">
      <c r="A166" s="243"/>
      <c r="B166" s="240" t="s">
        <v>231</v>
      </c>
      <c r="C166" s="242" t="s">
        <v>231</v>
      </c>
      <c r="D166" s="239" t="s">
        <v>403</v>
      </c>
      <c r="E166" s="187" t="str">
        <f>IF(E27&gt;=(E28+E29),"OK","BŁĄD")</f>
        <v>OK</v>
      </c>
      <c r="F166" s="180" t="str">
        <f aca="true" t="shared" si="51" ref="F166:N166">IF(F27&gt;=F28,"OK","BŁĄD")</f>
        <v>OK</v>
      </c>
      <c r="G166" s="180" t="str">
        <f t="shared" si="51"/>
        <v>OK</v>
      </c>
      <c r="H166" s="180" t="str">
        <f t="shared" si="51"/>
        <v>OK</v>
      </c>
      <c r="I166" s="180" t="str">
        <f t="shared" si="51"/>
        <v>OK</v>
      </c>
      <c r="J166" s="180" t="str">
        <f t="shared" si="51"/>
        <v>OK</v>
      </c>
      <c r="K166" s="180" t="str">
        <f t="shared" si="51"/>
        <v>OK</v>
      </c>
      <c r="L166" s="180" t="str">
        <f t="shared" si="51"/>
        <v>OK</v>
      </c>
      <c r="M166" s="180" t="str">
        <f t="shared" si="51"/>
        <v>OK</v>
      </c>
      <c r="N166" s="180" t="str">
        <f t="shared" si="51"/>
        <v>OK</v>
      </c>
    </row>
    <row r="167" spans="2:15" ht="14.25" outlineLevel="2">
      <c r="B167" s="202" t="s">
        <v>232</v>
      </c>
      <c r="C167" s="242" t="s">
        <v>232</v>
      </c>
      <c r="D167" s="49" t="s">
        <v>280</v>
      </c>
      <c r="E167" s="187" t="str">
        <f aca="true" t="shared" si="52" ref="E167:N167">IF(E22&gt;=(E23+E25+E26),"OK","BŁĄD")</f>
        <v>OK</v>
      </c>
      <c r="F167" s="180" t="str">
        <f t="shared" si="52"/>
        <v>OK</v>
      </c>
      <c r="G167" s="180" t="str">
        <f t="shared" si="52"/>
        <v>OK</v>
      </c>
      <c r="H167" s="180" t="str">
        <f t="shared" si="52"/>
        <v>OK</v>
      </c>
      <c r="I167" s="180" t="str">
        <f t="shared" si="52"/>
        <v>OK</v>
      </c>
      <c r="J167" s="180" t="str">
        <f t="shared" si="52"/>
        <v>OK</v>
      </c>
      <c r="K167" s="180" t="str">
        <f t="shared" si="52"/>
        <v>OK</v>
      </c>
      <c r="L167" s="180" t="str">
        <f t="shared" si="52"/>
        <v>OK</v>
      </c>
      <c r="M167" s="180" t="str">
        <f t="shared" si="52"/>
        <v>OK</v>
      </c>
      <c r="N167" s="180" t="str">
        <f t="shared" si="52"/>
        <v>OK</v>
      </c>
      <c r="O167" s="15"/>
    </row>
    <row r="168" spans="2:15" ht="14.25" outlineLevel="2">
      <c r="B168" s="202" t="s">
        <v>233</v>
      </c>
      <c r="C168" s="242" t="s">
        <v>233</v>
      </c>
      <c r="D168" s="49" t="s">
        <v>281</v>
      </c>
      <c r="E168" s="187" t="str">
        <f aca="true" t="shared" si="53" ref="E168:N168">IF(E22&gt;=E66,"OK","BŁĄD")</f>
        <v>OK</v>
      </c>
      <c r="F168" s="180" t="str">
        <f t="shared" si="53"/>
        <v>OK</v>
      </c>
      <c r="G168" s="180" t="str">
        <f t="shared" si="53"/>
        <v>OK</v>
      </c>
      <c r="H168" s="180" t="str">
        <f t="shared" si="53"/>
        <v>OK</v>
      </c>
      <c r="I168" s="180" t="str">
        <f t="shared" si="53"/>
        <v>OK</v>
      </c>
      <c r="J168" s="180" t="str">
        <f t="shared" si="53"/>
        <v>OK</v>
      </c>
      <c r="K168" s="180" t="str">
        <f t="shared" si="53"/>
        <v>OK</v>
      </c>
      <c r="L168" s="180" t="str">
        <f t="shared" si="53"/>
        <v>OK</v>
      </c>
      <c r="M168" s="180" t="str">
        <f t="shared" si="53"/>
        <v>OK</v>
      </c>
      <c r="N168" s="180" t="str">
        <f t="shared" si="53"/>
        <v>OK</v>
      </c>
      <c r="O168" s="15"/>
    </row>
    <row r="169" spans="2:15" ht="14.25" outlineLevel="2">
      <c r="B169" s="202" t="s">
        <v>234</v>
      </c>
      <c r="C169" s="242" t="s">
        <v>234</v>
      </c>
      <c r="D169" s="49" t="s">
        <v>282</v>
      </c>
      <c r="E169" s="187" t="str">
        <f aca="true" t="shared" si="54" ref="E169:N169">IF(E22&gt;=E69,"OK","BŁĄD")</f>
        <v>OK</v>
      </c>
      <c r="F169" s="180" t="str">
        <f t="shared" si="54"/>
        <v>OK</v>
      </c>
      <c r="G169" s="180" t="str">
        <f t="shared" si="54"/>
        <v>OK</v>
      </c>
      <c r="H169" s="180" t="str">
        <f t="shared" si="54"/>
        <v>OK</v>
      </c>
      <c r="I169" s="180" t="str">
        <f t="shared" si="54"/>
        <v>OK</v>
      </c>
      <c r="J169" s="180" t="str">
        <f t="shared" si="54"/>
        <v>OK</v>
      </c>
      <c r="K169" s="180" t="str">
        <f t="shared" si="54"/>
        <v>OK</v>
      </c>
      <c r="L169" s="180" t="str">
        <f t="shared" si="54"/>
        <v>OK</v>
      </c>
      <c r="M169" s="180" t="str">
        <f t="shared" si="54"/>
        <v>OK</v>
      </c>
      <c r="N169" s="180" t="str">
        <f t="shared" si="54"/>
        <v>OK</v>
      </c>
      <c r="O169" s="15"/>
    </row>
    <row r="170" spans="2:15" ht="14.25" outlineLevel="2">
      <c r="B170" s="202" t="s">
        <v>235</v>
      </c>
      <c r="C170" s="242" t="s">
        <v>235</v>
      </c>
      <c r="D170" s="49" t="s">
        <v>283</v>
      </c>
      <c r="E170" s="187" t="str">
        <f aca="true" t="shared" si="55" ref="E170:N170">IF(E22&gt;=E81,"OK","BŁĄD")</f>
        <v>OK</v>
      </c>
      <c r="F170" s="180" t="str">
        <f t="shared" si="55"/>
        <v>OK</v>
      </c>
      <c r="G170" s="180" t="str">
        <f t="shared" si="55"/>
        <v>OK</v>
      </c>
      <c r="H170" s="180" t="str">
        <f t="shared" si="55"/>
        <v>OK</v>
      </c>
      <c r="I170" s="180" t="str">
        <f t="shared" si="55"/>
        <v>OK</v>
      </c>
      <c r="J170" s="180" t="str">
        <f t="shared" si="55"/>
        <v>OK</v>
      </c>
      <c r="K170" s="180" t="str">
        <f t="shared" si="55"/>
        <v>OK</v>
      </c>
      <c r="L170" s="180" t="str">
        <f t="shared" si="55"/>
        <v>OK</v>
      </c>
      <c r="M170" s="180" t="str">
        <f t="shared" si="55"/>
        <v>OK</v>
      </c>
      <c r="N170" s="180" t="str">
        <f t="shared" si="55"/>
        <v>OK</v>
      </c>
      <c r="O170" s="15"/>
    </row>
    <row r="171" spans="2:15" ht="14.25" outlineLevel="2">
      <c r="B171" s="202" t="s">
        <v>236</v>
      </c>
      <c r="C171" s="242" t="s">
        <v>236</v>
      </c>
      <c r="D171" s="49" t="s">
        <v>284</v>
      </c>
      <c r="E171" s="187" t="str">
        <f aca="true" t="shared" si="56" ref="E171:N171">IF(E22&gt;=E102,"OK","BŁĄD")</f>
        <v>OK</v>
      </c>
      <c r="F171" s="180" t="str">
        <f t="shared" si="56"/>
        <v>OK</v>
      </c>
      <c r="G171" s="180" t="str">
        <f t="shared" si="56"/>
        <v>OK</v>
      </c>
      <c r="H171" s="180" t="str">
        <f t="shared" si="56"/>
        <v>OK</v>
      </c>
      <c r="I171" s="180" t="str">
        <f t="shared" si="56"/>
        <v>OK</v>
      </c>
      <c r="J171" s="180" t="str">
        <f t="shared" si="56"/>
        <v>OK</v>
      </c>
      <c r="K171" s="180" t="str">
        <f t="shared" si="56"/>
        <v>OK</v>
      </c>
      <c r="L171" s="180" t="str">
        <f t="shared" si="56"/>
        <v>OK</v>
      </c>
      <c r="M171" s="180" t="str">
        <f t="shared" si="56"/>
        <v>OK</v>
      </c>
      <c r="N171" s="180" t="str">
        <f t="shared" si="56"/>
        <v>OK</v>
      </c>
      <c r="O171" s="15"/>
    </row>
    <row r="172" spans="2:15" ht="14.25" outlineLevel="2">
      <c r="B172" s="202" t="s">
        <v>237</v>
      </c>
      <c r="C172" s="242" t="s">
        <v>237</v>
      </c>
      <c r="D172" s="49" t="s">
        <v>285</v>
      </c>
      <c r="E172" s="187" t="str">
        <f aca="true" t="shared" si="57" ref="E172:N172">IF(E30&gt;=E70,"OK","BŁĄD")</f>
        <v>OK</v>
      </c>
      <c r="F172" s="180" t="str">
        <f t="shared" si="57"/>
        <v>OK</v>
      </c>
      <c r="G172" s="180" t="str">
        <f t="shared" si="57"/>
        <v>OK</v>
      </c>
      <c r="H172" s="180" t="str">
        <f t="shared" si="57"/>
        <v>OK</v>
      </c>
      <c r="I172" s="180" t="str">
        <f t="shared" si="57"/>
        <v>OK</v>
      </c>
      <c r="J172" s="180" t="str">
        <f t="shared" si="57"/>
        <v>OK</v>
      </c>
      <c r="K172" s="180" t="str">
        <f t="shared" si="57"/>
        <v>OK</v>
      </c>
      <c r="L172" s="180" t="str">
        <f t="shared" si="57"/>
        <v>OK</v>
      </c>
      <c r="M172" s="180" t="str">
        <f t="shared" si="57"/>
        <v>OK</v>
      </c>
      <c r="N172" s="180" t="str">
        <f t="shared" si="57"/>
        <v>OK</v>
      </c>
      <c r="O172" s="15"/>
    </row>
    <row r="173" spans="2:15" ht="14.25" outlineLevel="2">
      <c r="B173" s="202" t="s">
        <v>238</v>
      </c>
      <c r="C173" s="242" t="s">
        <v>238</v>
      </c>
      <c r="D173" s="49" t="s">
        <v>286</v>
      </c>
      <c r="E173" s="187" t="str">
        <f aca="true" t="shared" si="58" ref="E173:N173">IF(E30&gt;=E71+E72,"OK","BŁĄD")</f>
        <v>OK</v>
      </c>
      <c r="F173" s="180" t="str">
        <f t="shared" si="58"/>
        <v>OK</v>
      </c>
      <c r="G173" s="180" t="str">
        <f t="shared" si="58"/>
        <v>OK</v>
      </c>
      <c r="H173" s="180" t="str">
        <f t="shared" si="58"/>
        <v>OK</v>
      </c>
      <c r="I173" s="180" t="str">
        <f t="shared" si="58"/>
        <v>OK</v>
      </c>
      <c r="J173" s="180" t="str">
        <f t="shared" si="58"/>
        <v>OK</v>
      </c>
      <c r="K173" s="180" t="str">
        <f t="shared" si="58"/>
        <v>OK</v>
      </c>
      <c r="L173" s="180" t="str">
        <f t="shared" si="58"/>
        <v>OK</v>
      </c>
      <c r="M173" s="180" t="str">
        <f t="shared" si="58"/>
        <v>OK</v>
      </c>
      <c r="N173" s="180" t="str">
        <f t="shared" si="58"/>
        <v>OK</v>
      </c>
      <c r="O173" s="15"/>
    </row>
    <row r="174" spans="2:15" ht="14.25" outlineLevel="2">
      <c r="B174" s="202" t="s">
        <v>239</v>
      </c>
      <c r="C174" s="242" t="s">
        <v>239</v>
      </c>
      <c r="D174" s="49" t="s">
        <v>287</v>
      </c>
      <c r="E174" s="187" t="str">
        <f aca="true" t="shared" si="59" ref="E174:N174">IF(E30&gt;=E73,"OK","BŁĄD")</f>
        <v>OK</v>
      </c>
      <c r="F174" s="180" t="str">
        <f t="shared" si="59"/>
        <v>OK</v>
      </c>
      <c r="G174" s="180" t="str">
        <f t="shared" si="59"/>
        <v>OK</v>
      </c>
      <c r="H174" s="180" t="str">
        <f t="shared" si="59"/>
        <v>OK</v>
      </c>
      <c r="I174" s="180" t="str">
        <f t="shared" si="59"/>
        <v>OK</v>
      </c>
      <c r="J174" s="180" t="str">
        <f t="shared" si="59"/>
        <v>OK</v>
      </c>
      <c r="K174" s="180" t="str">
        <f t="shared" si="59"/>
        <v>OK</v>
      </c>
      <c r="L174" s="180" t="str">
        <f t="shared" si="59"/>
        <v>OK</v>
      </c>
      <c r="M174" s="180" t="str">
        <f t="shared" si="59"/>
        <v>OK</v>
      </c>
      <c r="N174" s="180" t="str">
        <f t="shared" si="59"/>
        <v>OK</v>
      </c>
      <c r="O174" s="15"/>
    </row>
    <row r="175" spans="2:15" ht="14.25" outlineLevel="2">
      <c r="B175" s="202" t="s">
        <v>240</v>
      </c>
      <c r="C175" s="242" t="s">
        <v>240</v>
      </c>
      <c r="D175" s="49" t="s">
        <v>288</v>
      </c>
      <c r="E175" s="187" t="str">
        <f aca="true" t="shared" si="60" ref="E175:N175">IF(E30&gt;=E84,"OK","BŁĄD")</f>
        <v>OK</v>
      </c>
      <c r="F175" s="180" t="str">
        <f t="shared" si="60"/>
        <v>OK</v>
      </c>
      <c r="G175" s="180" t="str">
        <f t="shared" si="60"/>
        <v>OK</v>
      </c>
      <c r="H175" s="180" t="str">
        <f t="shared" si="60"/>
        <v>OK</v>
      </c>
      <c r="I175" s="180" t="str">
        <f t="shared" si="60"/>
        <v>OK</v>
      </c>
      <c r="J175" s="180" t="str">
        <f t="shared" si="60"/>
        <v>OK</v>
      </c>
      <c r="K175" s="180" t="str">
        <f t="shared" si="60"/>
        <v>OK</v>
      </c>
      <c r="L175" s="180" t="str">
        <f t="shared" si="60"/>
        <v>OK</v>
      </c>
      <c r="M175" s="180" t="str">
        <f t="shared" si="60"/>
        <v>OK</v>
      </c>
      <c r="N175" s="180" t="str">
        <f t="shared" si="60"/>
        <v>OK</v>
      </c>
      <c r="O175" s="15"/>
    </row>
    <row r="176" spans="2:15" ht="14.25" outlineLevel="2">
      <c r="B176" s="202" t="s">
        <v>241</v>
      </c>
      <c r="C176" s="242" t="s">
        <v>241</v>
      </c>
      <c r="D176" s="49" t="s">
        <v>289</v>
      </c>
      <c r="E176" s="187" t="str">
        <f aca="true" t="shared" si="61" ref="E176:N176">IF(E33&gt;=E34,"OK","BŁĄD")</f>
        <v>OK</v>
      </c>
      <c r="F176" s="180" t="str">
        <f t="shared" si="61"/>
        <v>OK</v>
      </c>
      <c r="G176" s="180" t="str">
        <f t="shared" si="61"/>
        <v>OK</v>
      </c>
      <c r="H176" s="180" t="str">
        <f t="shared" si="61"/>
        <v>OK</v>
      </c>
      <c r="I176" s="180" t="str">
        <f t="shared" si="61"/>
        <v>OK</v>
      </c>
      <c r="J176" s="180" t="str">
        <f t="shared" si="61"/>
        <v>OK</v>
      </c>
      <c r="K176" s="180" t="str">
        <f t="shared" si="61"/>
        <v>OK</v>
      </c>
      <c r="L176" s="180" t="str">
        <f t="shared" si="61"/>
        <v>OK</v>
      </c>
      <c r="M176" s="180" t="str">
        <f t="shared" si="61"/>
        <v>OK</v>
      </c>
      <c r="N176" s="180" t="str">
        <f t="shared" si="61"/>
        <v>OK</v>
      </c>
      <c r="O176" s="15"/>
    </row>
    <row r="177" spans="2:15" ht="14.25" outlineLevel="2">
      <c r="B177" s="202" t="s">
        <v>242</v>
      </c>
      <c r="C177" s="242" t="s">
        <v>242</v>
      </c>
      <c r="D177" s="49" t="s">
        <v>290</v>
      </c>
      <c r="E177" s="187" t="str">
        <f aca="true" t="shared" si="62" ref="E177:N177">IF(E35&gt;=E36,"OK","BŁĄD")</f>
        <v>OK</v>
      </c>
      <c r="F177" s="180" t="str">
        <f t="shared" si="62"/>
        <v>OK</v>
      </c>
      <c r="G177" s="180" t="str">
        <f t="shared" si="62"/>
        <v>OK</v>
      </c>
      <c r="H177" s="180" t="str">
        <f t="shared" si="62"/>
        <v>OK</v>
      </c>
      <c r="I177" s="180" t="str">
        <f t="shared" si="62"/>
        <v>OK</v>
      </c>
      <c r="J177" s="180" t="str">
        <f t="shared" si="62"/>
        <v>OK</v>
      </c>
      <c r="K177" s="180" t="str">
        <f t="shared" si="62"/>
        <v>OK</v>
      </c>
      <c r="L177" s="180" t="str">
        <f t="shared" si="62"/>
        <v>OK</v>
      </c>
      <c r="M177" s="180" t="str">
        <f t="shared" si="62"/>
        <v>OK</v>
      </c>
      <c r="N177" s="180" t="str">
        <f t="shared" si="62"/>
        <v>OK</v>
      </c>
      <c r="O177" s="15"/>
    </row>
    <row r="178" spans="2:15" ht="14.25" outlineLevel="2">
      <c r="B178" s="202" t="s">
        <v>243</v>
      </c>
      <c r="C178" s="242" t="s">
        <v>243</v>
      </c>
      <c r="D178" s="49" t="s">
        <v>291</v>
      </c>
      <c r="E178" s="187" t="str">
        <f aca="true" t="shared" si="63" ref="E178:N178">IF(E37&gt;=E38,"OK","BŁĄD")</f>
        <v>OK</v>
      </c>
      <c r="F178" s="180" t="str">
        <f t="shared" si="63"/>
        <v>OK</v>
      </c>
      <c r="G178" s="180" t="str">
        <f t="shared" si="63"/>
        <v>OK</v>
      </c>
      <c r="H178" s="180" t="str">
        <f t="shared" si="63"/>
        <v>OK</v>
      </c>
      <c r="I178" s="180" t="str">
        <f t="shared" si="63"/>
        <v>OK</v>
      </c>
      <c r="J178" s="180" t="str">
        <f t="shared" si="63"/>
        <v>OK</v>
      </c>
      <c r="K178" s="180" t="str">
        <f t="shared" si="63"/>
        <v>OK</v>
      </c>
      <c r="L178" s="180" t="str">
        <f t="shared" si="63"/>
        <v>OK</v>
      </c>
      <c r="M178" s="180" t="str">
        <f t="shared" si="63"/>
        <v>OK</v>
      </c>
      <c r="N178" s="180" t="str">
        <f t="shared" si="63"/>
        <v>OK</v>
      </c>
      <c r="O178" s="15"/>
    </row>
    <row r="179" spans="2:15" ht="14.25" outlineLevel="2">
      <c r="B179" s="202" t="s">
        <v>244</v>
      </c>
      <c r="C179" s="242" t="s">
        <v>244</v>
      </c>
      <c r="D179" s="49" t="s">
        <v>292</v>
      </c>
      <c r="E179" s="187" t="str">
        <f aca="true" t="shared" si="64" ref="E179:N179">IF(E39&gt;=E40,"OK","BŁĄD")</f>
        <v>OK</v>
      </c>
      <c r="F179" s="180" t="str">
        <f t="shared" si="64"/>
        <v>OK</v>
      </c>
      <c r="G179" s="180" t="str">
        <f t="shared" si="64"/>
        <v>OK</v>
      </c>
      <c r="H179" s="180" t="str">
        <f t="shared" si="64"/>
        <v>OK</v>
      </c>
      <c r="I179" s="180" t="str">
        <f t="shared" si="64"/>
        <v>OK</v>
      </c>
      <c r="J179" s="180" t="str">
        <f t="shared" si="64"/>
        <v>OK</v>
      </c>
      <c r="K179" s="180" t="str">
        <f t="shared" si="64"/>
        <v>OK</v>
      </c>
      <c r="L179" s="180" t="str">
        <f t="shared" si="64"/>
        <v>OK</v>
      </c>
      <c r="M179" s="180" t="str">
        <f t="shared" si="64"/>
        <v>OK</v>
      </c>
      <c r="N179" s="180" t="str">
        <f t="shared" si="64"/>
        <v>OK</v>
      </c>
      <c r="O179" s="15"/>
    </row>
    <row r="180" spans="2:15" ht="14.25" outlineLevel="2">
      <c r="B180" s="202" t="s">
        <v>247</v>
      </c>
      <c r="C180" s="242" t="s">
        <v>247</v>
      </c>
      <c r="D180" s="49" t="s">
        <v>295</v>
      </c>
      <c r="E180" s="187" t="str">
        <f aca="true" t="shared" si="65" ref="E180:N180">IF(E42&gt;=E43,"OK","BŁĄD")</f>
        <v>OK</v>
      </c>
      <c r="F180" s="180" t="str">
        <f t="shared" si="65"/>
        <v>OK</v>
      </c>
      <c r="G180" s="180" t="str">
        <f t="shared" si="65"/>
        <v>OK</v>
      </c>
      <c r="H180" s="180" t="str">
        <f t="shared" si="65"/>
        <v>OK</v>
      </c>
      <c r="I180" s="180" t="str">
        <f t="shared" si="65"/>
        <v>OK</v>
      </c>
      <c r="J180" s="180" t="str">
        <f t="shared" si="65"/>
        <v>OK</v>
      </c>
      <c r="K180" s="180" t="str">
        <f t="shared" si="65"/>
        <v>OK</v>
      </c>
      <c r="L180" s="180" t="str">
        <f t="shared" si="65"/>
        <v>OK</v>
      </c>
      <c r="M180" s="180" t="str">
        <f t="shared" si="65"/>
        <v>OK</v>
      </c>
      <c r="N180" s="180" t="str">
        <f t="shared" si="65"/>
        <v>OK</v>
      </c>
      <c r="O180" s="15"/>
    </row>
    <row r="181" spans="2:15" ht="14.25" outlineLevel="2">
      <c r="B181" s="202" t="s">
        <v>245</v>
      </c>
      <c r="C181" s="242" t="s">
        <v>245</v>
      </c>
      <c r="D181" s="49" t="s">
        <v>293</v>
      </c>
      <c r="E181" s="187" t="str">
        <f aca="true" t="shared" si="66" ref="E181:N181">IF(E42&gt;=E64,"OK","BŁĄD")</f>
        <v>OK</v>
      </c>
      <c r="F181" s="180" t="str">
        <f t="shared" si="66"/>
        <v>OK</v>
      </c>
      <c r="G181" s="180" t="str">
        <f t="shared" si="66"/>
        <v>OK</v>
      </c>
      <c r="H181" s="180" t="str">
        <f t="shared" si="66"/>
        <v>OK</v>
      </c>
      <c r="I181" s="180" t="str">
        <f t="shared" si="66"/>
        <v>OK</v>
      </c>
      <c r="J181" s="180" t="str">
        <f t="shared" si="66"/>
        <v>OK</v>
      </c>
      <c r="K181" s="180" t="str">
        <f t="shared" si="66"/>
        <v>OK</v>
      </c>
      <c r="L181" s="180" t="str">
        <f t="shared" si="66"/>
        <v>OK</v>
      </c>
      <c r="M181" s="180" t="str">
        <f t="shared" si="66"/>
        <v>OK</v>
      </c>
      <c r="N181" s="180" t="str">
        <f t="shared" si="66"/>
        <v>OK</v>
      </c>
      <c r="O181" s="15"/>
    </row>
    <row r="182" spans="2:15" ht="14.25" outlineLevel="2">
      <c r="B182" s="202" t="s">
        <v>246</v>
      </c>
      <c r="C182" s="242" t="s">
        <v>246</v>
      </c>
      <c r="D182" s="49" t="s">
        <v>294</v>
      </c>
      <c r="E182" s="187" t="str">
        <f aca="true" t="shared" si="67" ref="E182:N182">IF(E42&gt;=E104,"OK","BŁĄD")</f>
        <v>OK</v>
      </c>
      <c r="F182" s="180" t="str">
        <f t="shared" si="67"/>
        <v>OK</v>
      </c>
      <c r="G182" s="180" t="str">
        <f t="shared" si="67"/>
        <v>OK</v>
      </c>
      <c r="H182" s="180" t="str">
        <f t="shared" si="67"/>
        <v>OK</v>
      </c>
      <c r="I182" s="180" t="str">
        <f t="shared" si="67"/>
        <v>OK</v>
      </c>
      <c r="J182" s="180" t="str">
        <f t="shared" si="67"/>
        <v>OK</v>
      </c>
      <c r="K182" s="180" t="str">
        <f t="shared" si="67"/>
        <v>OK</v>
      </c>
      <c r="L182" s="180" t="str">
        <f t="shared" si="67"/>
        <v>OK</v>
      </c>
      <c r="M182" s="180" t="str">
        <f t="shared" si="67"/>
        <v>OK</v>
      </c>
      <c r="N182" s="180" t="str">
        <f t="shared" si="67"/>
        <v>OK</v>
      </c>
      <c r="O182" s="15"/>
    </row>
    <row r="183" spans="2:15" ht="14.25" outlineLevel="2">
      <c r="B183" s="202" t="s">
        <v>249</v>
      </c>
      <c r="C183" s="242" t="s">
        <v>249</v>
      </c>
      <c r="D183" s="49" t="s">
        <v>297</v>
      </c>
      <c r="E183" s="187" t="str">
        <f aca="true" t="shared" si="68" ref="E183:N183">IF(E48&gt;=E49,"OK","BŁĄD")</f>
        <v>OK</v>
      </c>
      <c r="F183" s="180" t="str">
        <f t="shared" si="68"/>
        <v>OK</v>
      </c>
      <c r="G183" s="180" t="str">
        <f t="shared" si="68"/>
        <v>OK</v>
      </c>
      <c r="H183" s="180" t="str">
        <f t="shared" si="68"/>
        <v>OK</v>
      </c>
      <c r="I183" s="180" t="str">
        <f t="shared" si="68"/>
        <v>OK</v>
      </c>
      <c r="J183" s="180" t="str">
        <f t="shared" si="68"/>
        <v>OK</v>
      </c>
      <c r="K183" s="180" t="str">
        <f t="shared" si="68"/>
        <v>OK</v>
      </c>
      <c r="L183" s="180" t="str">
        <f t="shared" si="68"/>
        <v>OK</v>
      </c>
      <c r="M183" s="180" t="str">
        <f t="shared" si="68"/>
        <v>OK</v>
      </c>
      <c r="N183" s="180" t="str">
        <f t="shared" si="68"/>
        <v>OK</v>
      </c>
      <c r="O183" s="15"/>
    </row>
    <row r="184" spans="2:15" ht="14.25" outlineLevel="2">
      <c r="B184" s="202" t="s">
        <v>248</v>
      </c>
      <c r="C184" s="242" t="s">
        <v>248</v>
      </c>
      <c r="D184" s="49" t="s">
        <v>296</v>
      </c>
      <c r="E184" s="187" t="str">
        <f aca="true" t="shared" si="69" ref="E184:N184">IF(E48&gt;=E105,"OK","BŁĄD")</f>
        <v>OK</v>
      </c>
      <c r="F184" s="180" t="str">
        <f t="shared" si="69"/>
        <v>OK</v>
      </c>
      <c r="G184" s="180" t="str">
        <f t="shared" si="69"/>
        <v>OK</v>
      </c>
      <c r="H184" s="180" t="str">
        <f t="shared" si="69"/>
        <v>OK</v>
      </c>
      <c r="I184" s="180" t="str">
        <f t="shared" si="69"/>
        <v>OK</v>
      </c>
      <c r="J184" s="180" t="str">
        <f t="shared" si="69"/>
        <v>OK</v>
      </c>
      <c r="K184" s="180" t="str">
        <f t="shared" si="69"/>
        <v>OK</v>
      </c>
      <c r="L184" s="180" t="str">
        <f t="shared" si="69"/>
        <v>OK</v>
      </c>
      <c r="M184" s="180" t="str">
        <f t="shared" si="69"/>
        <v>OK</v>
      </c>
      <c r="N184" s="180" t="str">
        <f t="shared" si="69"/>
        <v>OK</v>
      </c>
      <c r="O184" s="15"/>
    </row>
    <row r="185" spans="2:15" ht="14.25" outlineLevel="2">
      <c r="B185" s="202" t="s">
        <v>250</v>
      </c>
      <c r="C185" s="242" t="s">
        <v>250</v>
      </c>
      <c r="D185" s="49" t="s">
        <v>298</v>
      </c>
      <c r="E185" s="187" t="str">
        <f aca="true" t="shared" si="70" ref="E185:N185">IF(E49&gt;=E96,"OK","BŁĄD")</f>
        <v>OK</v>
      </c>
      <c r="F185" s="180" t="str">
        <f t="shared" si="70"/>
        <v>OK</v>
      </c>
      <c r="G185" s="180" t="str">
        <f t="shared" si="70"/>
        <v>OK</v>
      </c>
      <c r="H185" s="180" t="str">
        <f t="shared" si="70"/>
        <v>OK</v>
      </c>
      <c r="I185" s="180" t="str">
        <f t="shared" si="70"/>
        <v>OK</v>
      </c>
      <c r="J185" s="180" t="str">
        <f t="shared" si="70"/>
        <v>OK</v>
      </c>
      <c r="K185" s="180" t="str">
        <f t="shared" si="70"/>
        <v>OK</v>
      </c>
      <c r="L185" s="180" t="str">
        <f t="shared" si="70"/>
        <v>OK</v>
      </c>
      <c r="M185" s="180" t="str">
        <f t="shared" si="70"/>
        <v>OK</v>
      </c>
      <c r="N185" s="180" t="str">
        <f t="shared" si="70"/>
        <v>OK</v>
      </c>
      <c r="O185" s="15"/>
    </row>
    <row r="186" spans="2:15" ht="14.25" outlineLevel="2">
      <c r="B186" s="203" t="s">
        <v>251</v>
      </c>
      <c r="C186" s="208" t="s">
        <v>251</v>
      </c>
      <c r="D186" s="50" t="s">
        <v>299</v>
      </c>
      <c r="E186" s="188" t="str">
        <f aca="true" t="shared" si="71" ref="E186:N186">IF(E26&lt;&gt;0,IF(E27&lt;&gt;0,"OK","BŁĄD"),"N/D")</f>
        <v>OK</v>
      </c>
      <c r="F186" s="184" t="str">
        <f t="shared" si="71"/>
        <v>OK</v>
      </c>
      <c r="G186" s="184" t="str">
        <f t="shared" si="71"/>
        <v>OK</v>
      </c>
      <c r="H186" s="184" t="str">
        <f t="shared" si="71"/>
        <v>OK</v>
      </c>
      <c r="I186" s="184" t="str">
        <f t="shared" si="71"/>
        <v>OK</v>
      </c>
      <c r="J186" s="184" t="str">
        <f t="shared" si="71"/>
        <v>OK</v>
      </c>
      <c r="K186" s="184" t="str">
        <f t="shared" si="71"/>
        <v>OK</v>
      </c>
      <c r="L186" s="184" t="str">
        <f t="shared" si="71"/>
        <v>OK</v>
      </c>
      <c r="M186" s="184" t="str">
        <f t="shared" si="71"/>
        <v>OK</v>
      </c>
      <c r="N186" s="184" t="str">
        <f t="shared" si="71"/>
        <v>N/D</v>
      </c>
      <c r="O186" s="15"/>
    </row>
    <row r="187" spans="2:15" ht="14.25" outlineLevel="2">
      <c r="B187" s="44"/>
      <c r="C187" s="44"/>
      <c r="D187" s="44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5"/>
    </row>
    <row r="188" spans="2:15" ht="14.25" outlineLevel="1">
      <c r="B188" s="44"/>
      <c r="C188" s="44"/>
      <c r="D188" s="153" t="s">
        <v>317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5"/>
    </row>
    <row r="189" spans="2:15" ht="15" outlineLevel="2">
      <c r="B189" s="105"/>
      <c r="C189" s="262"/>
      <c r="D189" s="106" t="s">
        <v>29</v>
      </c>
      <c r="E189" s="107">
        <f aca="true" t="shared" si="72" ref="E189:N189">E11+E18</f>
        <v>35686877.99</v>
      </c>
      <c r="F189" s="108">
        <f t="shared" si="72"/>
        <v>37978209</v>
      </c>
      <c r="G189" s="108">
        <f t="shared" si="72"/>
        <v>38085749</v>
      </c>
      <c r="H189" s="108">
        <f t="shared" si="72"/>
        <v>36097762</v>
      </c>
      <c r="I189" s="108">
        <f t="shared" si="72"/>
        <v>36458762</v>
      </c>
      <c r="J189" s="108">
        <f t="shared" si="72"/>
        <v>36458762</v>
      </c>
      <c r="K189" s="108">
        <f t="shared" si="72"/>
        <v>36458762</v>
      </c>
      <c r="L189" s="108">
        <f t="shared" si="72"/>
        <v>36458762</v>
      </c>
      <c r="M189" s="108">
        <f t="shared" si="72"/>
        <v>36458762</v>
      </c>
      <c r="N189" s="108">
        <f t="shared" si="72"/>
        <v>36458762</v>
      </c>
      <c r="O189" s="105"/>
    </row>
    <row r="190" spans="2:15" ht="15" outlineLevel="2">
      <c r="B190" s="105"/>
      <c r="C190" s="262"/>
      <c r="D190" s="110" t="s">
        <v>30</v>
      </c>
      <c r="E190" s="111">
        <f aca="true" t="shared" si="73" ref="E190:N190">E22+E30</f>
        <v>40048350.71</v>
      </c>
      <c r="F190" s="112">
        <f t="shared" si="73"/>
        <v>39521456</v>
      </c>
      <c r="G190" s="112">
        <f t="shared" si="73"/>
        <v>35189726</v>
      </c>
      <c r="H190" s="112">
        <f t="shared" si="73"/>
        <v>35541686</v>
      </c>
      <c r="I190" s="112">
        <f t="shared" si="73"/>
        <v>35921762</v>
      </c>
      <c r="J190" s="112">
        <f t="shared" si="73"/>
        <v>35958762</v>
      </c>
      <c r="K190" s="112">
        <f t="shared" si="73"/>
        <v>35758762</v>
      </c>
      <c r="L190" s="112">
        <f t="shared" si="73"/>
        <v>35758762</v>
      </c>
      <c r="M190" s="112">
        <f t="shared" si="73"/>
        <v>35902305</v>
      </c>
      <c r="N190" s="112">
        <f t="shared" si="73"/>
        <v>36458762</v>
      </c>
      <c r="O190" s="105"/>
    </row>
    <row r="191" spans="2:15" ht="15" outlineLevel="2">
      <c r="B191" s="105"/>
      <c r="C191" s="262"/>
      <c r="D191" s="110" t="s">
        <v>302</v>
      </c>
      <c r="E191" s="111">
        <f aca="true" t="shared" si="74" ref="E191:N191">E10-E21</f>
        <v>-4361472.719999999</v>
      </c>
      <c r="F191" s="112">
        <f t="shared" si="74"/>
        <v>-1543247</v>
      </c>
      <c r="G191" s="112">
        <f t="shared" si="74"/>
        <v>2896023</v>
      </c>
      <c r="H191" s="112">
        <f t="shared" si="74"/>
        <v>556076</v>
      </c>
      <c r="I191" s="112">
        <f t="shared" si="74"/>
        <v>537000</v>
      </c>
      <c r="J191" s="112">
        <f t="shared" si="74"/>
        <v>500000</v>
      </c>
      <c r="K191" s="112">
        <f t="shared" si="74"/>
        <v>700000</v>
      </c>
      <c r="L191" s="112">
        <f t="shared" si="74"/>
        <v>700000</v>
      </c>
      <c r="M191" s="112">
        <f t="shared" si="74"/>
        <v>556457</v>
      </c>
      <c r="N191" s="112">
        <f t="shared" si="74"/>
        <v>0</v>
      </c>
      <c r="O191" s="105"/>
    </row>
    <row r="192" spans="2:15" ht="15" outlineLevel="2">
      <c r="B192" s="105"/>
      <c r="C192" s="262"/>
      <c r="D192" s="114" t="s">
        <v>303</v>
      </c>
      <c r="E192" s="111" t="e">
        <f>#REF!+E37-E42+(E105-#REF!)+E110</f>
        <v>#REF!</v>
      </c>
      <c r="F192" s="112">
        <f aca="true" t="shared" si="75" ref="F192:N192">E48+F37-F42+(F105-E105)+F110</f>
        <v>6445556</v>
      </c>
      <c r="G192" s="112">
        <f t="shared" si="75"/>
        <v>3549533</v>
      </c>
      <c r="H192" s="112">
        <f t="shared" si="75"/>
        <v>2993457</v>
      </c>
      <c r="I192" s="112">
        <f t="shared" si="75"/>
        <v>2456457</v>
      </c>
      <c r="J192" s="112">
        <f t="shared" si="75"/>
        <v>1956457</v>
      </c>
      <c r="K192" s="112">
        <f t="shared" si="75"/>
        <v>1256457</v>
      </c>
      <c r="L192" s="112">
        <f t="shared" si="75"/>
        <v>556457</v>
      </c>
      <c r="M192" s="112">
        <f t="shared" si="75"/>
        <v>0</v>
      </c>
      <c r="N192" s="112">
        <f t="shared" si="75"/>
        <v>0</v>
      </c>
      <c r="O192" s="105"/>
    </row>
    <row r="193" spans="2:15" ht="24" outlineLevel="2">
      <c r="B193" s="105"/>
      <c r="C193" s="262"/>
      <c r="D193" s="115" t="s">
        <v>321</v>
      </c>
      <c r="E193" s="116" t="e">
        <f>#REF!-(E98+E99+E100+E101)</f>
        <v>#REF!</v>
      </c>
      <c r="F193" s="117">
        <f aca="true" t="shared" si="76" ref="F193:N193">E96-(F98+F99+F100+F101)</f>
        <v>0</v>
      </c>
      <c r="G193" s="117">
        <f t="shared" si="76"/>
        <v>0</v>
      </c>
      <c r="H193" s="117">
        <f t="shared" si="76"/>
        <v>0</v>
      </c>
      <c r="I193" s="117">
        <f t="shared" si="76"/>
        <v>0</v>
      </c>
      <c r="J193" s="117">
        <f t="shared" si="76"/>
        <v>0</v>
      </c>
      <c r="K193" s="117">
        <f t="shared" si="76"/>
        <v>0</v>
      </c>
      <c r="L193" s="117">
        <f t="shared" si="76"/>
        <v>0</v>
      </c>
      <c r="M193" s="117">
        <f t="shared" si="76"/>
        <v>0</v>
      </c>
      <c r="N193" s="117">
        <f t="shared" si="76"/>
        <v>0</v>
      </c>
      <c r="O193" s="105"/>
    </row>
    <row r="195" ht="15.75">
      <c r="D195" s="150" t="s">
        <v>32</v>
      </c>
    </row>
    <row r="196" ht="14.25" outlineLevel="1">
      <c r="D196" s="151" t="s">
        <v>33</v>
      </c>
    </row>
    <row r="197" spans="4:14" ht="14.25" outlineLevel="2">
      <c r="D197" s="18">
        <v>0</v>
      </c>
      <c r="E197" s="15"/>
      <c r="F197" s="2"/>
      <c r="G197" s="2"/>
      <c r="H197" s="2"/>
      <c r="I197" s="2"/>
      <c r="J197" s="2"/>
      <c r="K197" s="2"/>
      <c r="L197" s="2"/>
      <c r="M197" s="2"/>
      <c r="N197" s="2"/>
    </row>
    <row r="198" spans="4:14" ht="14.25" outlineLevel="2">
      <c r="D198" s="19">
        <v>0.005</v>
      </c>
      <c r="E198" s="15"/>
      <c r="F198" s="2"/>
      <c r="G198" s="2"/>
      <c r="H198" s="2"/>
      <c r="I198" s="2"/>
      <c r="J198" s="2"/>
      <c r="K198" s="2"/>
      <c r="L198" s="2"/>
      <c r="M198" s="2"/>
      <c r="N198" s="2"/>
    </row>
    <row r="199" spans="4:14" ht="14.25" outlineLevel="2">
      <c r="D199" s="20">
        <v>0.01</v>
      </c>
      <c r="E199" s="15"/>
      <c r="F199" s="2"/>
      <c r="G199" s="2"/>
      <c r="H199" s="2"/>
      <c r="I199" s="2"/>
      <c r="J199" s="2"/>
      <c r="K199" s="2"/>
      <c r="L199" s="2"/>
      <c r="M199" s="2"/>
      <c r="N199" s="2"/>
    </row>
    <row r="200" spans="4:14" ht="14.25" outlineLevel="2">
      <c r="D200" s="137" t="s">
        <v>310</v>
      </c>
      <c r="E200" s="138">
        <f aca="true" t="shared" si="77" ref="E200:N200">+IF(E10=0,"",E59-E54)</f>
        <v>0.10200000000000001</v>
      </c>
      <c r="F200" s="139">
        <f t="shared" si="77"/>
        <v>0.0007000000000000062</v>
      </c>
      <c r="G200" s="139">
        <f t="shared" si="77"/>
        <v>-0.0315</v>
      </c>
      <c r="H200" s="139">
        <f t="shared" si="77"/>
        <v>0.023299999999999998</v>
      </c>
      <c r="I200" s="139">
        <f t="shared" si="77"/>
        <v>0.021299999999999996</v>
      </c>
      <c r="J200" s="139">
        <f t="shared" si="77"/>
        <v>0.0242</v>
      </c>
      <c r="K200" s="139">
        <f t="shared" si="77"/>
        <v>0.0216</v>
      </c>
      <c r="L200" s="139">
        <f t="shared" si="77"/>
        <v>0.0213</v>
      </c>
      <c r="M200" s="139">
        <f t="shared" si="77"/>
        <v>0.025100000000000004</v>
      </c>
      <c r="N200" s="139">
        <f t="shared" si="77"/>
        <v>0.0411</v>
      </c>
    </row>
    <row r="201" spans="4:14" ht="14.25" outlineLevel="2">
      <c r="D201" s="141" t="s">
        <v>311</v>
      </c>
      <c r="E201" s="142">
        <f aca="true" t="shared" si="78" ref="E201:N201">+IF(E10=0,"",E59-E55)</f>
        <v>0.10200000000000001</v>
      </c>
      <c r="F201" s="143">
        <f t="shared" si="78"/>
        <v>0.0726</v>
      </c>
      <c r="G201" s="143">
        <f t="shared" si="78"/>
        <v>0.0319</v>
      </c>
      <c r="H201" s="143">
        <f t="shared" si="78"/>
        <v>0.023299999999999998</v>
      </c>
      <c r="I201" s="143">
        <f t="shared" si="78"/>
        <v>0.021299999999999996</v>
      </c>
      <c r="J201" s="143">
        <f t="shared" si="78"/>
        <v>0.0242</v>
      </c>
      <c r="K201" s="143">
        <f t="shared" si="78"/>
        <v>0.0216</v>
      </c>
      <c r="L201" s="143">
        <f t="shared" si="78"/>
        <v>0.0213</v>
      </c>
      <c r="M201" s="143">
        <f t="shared" si="78"/>
        <v>0.025100000000000004</v>
      </c>
      <c r="N201" s="143">
        <f t="shared" si="78"/>
        <v>0.0411</v>
      </c>
    </row>
    <row r="202" spans="4:14" ht="14.25" outlineLevel="2">
      <c r="D202" s="137" t="s">
        <v>312</v>
      </c>
      <c r="E202" s="138">
        <f aca="true" t="shared" si="79" ref="E202:N202">+IF(E10=0,"",E60-E54)</f>
        <v>0.1255</v>
      </c>
      <c r="F202" s="139">
        <f t="shared" si="79"/>
        <v>0.024300000000000002</v>
      </c>
      <c r="G202" s="139">
        <f t="shared" si="79"/>
        <v>-0.007900000000000004</v>
      </c>
      <c r="H202" s="139">
        <f t="shared" si="79"/>
        <v>0.023299999999999998</v>
      </c>
      <c r="I202" s="139">
        <f t="shared" si="79"/>
        <v>0.021299999999999996</v>
      </c>
      <c r="J202" s="139">
        <f t="shared" si="79"/>
        <v>0.0242</v>
      </c>
      <c r="K202" s="139">
        <f t="shared" si="79"/>
        <v>0.0216</v>
      </c>
      <c r="L202" s="139">
        <f t="shared" si="79"/>
        <v>0.0213</v>
      </c>
      <c r="M202" s="139">
        <f t="shared" si="79"/>
        <v>0.025100000000000004</v>
      </c>
      <c r="N202" s="139">
        <f t="shared" si="79"/>
        <v>0.0411</v>
      </c>
    </row>
    <row r="203" spans="4:14" ht="14.25" outlineLevel="2">
      <c r="D203" s="141" t="s">
        <v>313</v>
      </c>
      <c r="E203" s="142">
        <f aca="true" t="shared" si="80" ref="E203:N203">+IF(E10=0,"",E60-E55)</f>
        <v>0.1255</v>
      </c>
      <c r="F203" s="143">
        <f t="shared" si="80"/>
        <v>0.0962</v>
      </c>
      <c r="G203" s="143">
        <f t="shared" si="80"/>
        <v>0.055499999999999994</v>
      </c>
      <c r="H203" s="143">
        <f t="shared" si="80"/>
        <v>0.023299999999999998</v>
      </c>
      <c r="I203" s="143">
        <f t="shared" si="80"/>
        <v>0.021299999999999996</v>
      </c>
      <c r="J203" s="143">
        <f t="shared" si="80"/>
        <v>0.0242</v>
      </c>
      <c r="K203" s="143">
        <f t="shared" si="80"/>
        <v>0.0216</v>
      </c>
      <c r="L203" s="143">
        <f t="shared" si="80"/>
        <v>0.0213</v>
      </c>
      <c r="M203" s="143">
        <f t="shared" si="80"/>
        <v>0.025100000000000004</v>
      </c>
      <c r="N203" s="143">
        <f t="shared" si="80"/>
        <v>0.0411</v>
      </c>
    </row>
  </sheetData>
  <sheetProtection formatCells="0" formatColumns="0" formatRows="0" insertColumns="0" deleteColumns="0"/>
  <autoFilter ref="A9:A110"/>
  <mergeCells count="1">
    <mergeCell ref="D8:H8"/>
  </mergeCells>
  <conditionalFormatting sqref="E61:N62">
    <cfRule type="expression" priority="39" dxfId="31" stopIfTrue="1">
      <formula>LEFT(E61,3)="Nie"</formula>
    </cfRule>
  </conditionalFormatting>
  <conditionalFormatting sqref="E133:N133">
    <cfRule type="cellIs" priority="13" dxfId="32" operator="between" stopIfTrue="1">
      <formula>0</formula>
      <formula>1000000000000</formula>
    </cfRule>
  </conditionalFormatting>
  <conditionalFormatting sqref="E134:N136">
    <cfRule type="cellIs" priority="12" dxfId="32" operator="between" stopIfTrue="1">
      <formula>-1000000000000</formula>
      <formula>1000000000000</formula>
    </cfRule>
  </conditionalFormatting>
  <conditionalFormatting sqref="E131:N132">
    <cfRule type="cellIs" priority="11" dxfId="33" operator="between" stopIfTrue="1">
      <formula>-1000000000000</formula>
      <formula>1000000000000</formula>
    </cfRule>
  </conditionalFormatting>
  <conditionalFormatting sqref="E137:N145 E147:N154 E159:N161 E167:N186 E163:N165">
    <cfRule type="cellIs" priority="10" dxfId="0" operator="equal" stopIfTrue="1">
      <formula>"BŁĄD"</formula>
    </cfRule>
  </conditionalFormatting>
  <conditionalFormatting sqref="E200:N203">
    <cfRule type="cellIs" priority="59" dxfId="34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conditionalFormatting sqref="E146:N146">
    <cfRule type="cellIs" priority="9" dxfId="0" operator="equal" stopIfTrue="1">
      <formula>"BŁĄD"</formula>
    </cfRule>
  </conditionalFormatting>
  <conditionalFormatting sqref="E155:N155">
    <cfRule type="cellIs" priority="6" dxfId="0" operator="equal" stopIfTrue="1">
      <formula>"BŁĄD"</formula>
    </cfRule>
  </conditionalFormatting>
  <conditionalFormatting sqref="E156:N156">
    <cfRule type="cellIs" priority="5" dxfId="0" operator="equal" stopIfTrue="1">
      <formula>"BŁĄD"</formula>
    </cfRule>
  </conditionalFormatting>
  <conditionalFormatting sqref="E157:N157">
    <cfRule type="cellIs" priority="4" dxfId="0" operator="equal" stopIfTrue="1">
      <formula>"BŁĄD"</formula>
    </cfRule>
  </conditionalFormatting>
  <conditionalFormatting sqref="E158:N158">
    <cfRule type="cellIs" priority="3" dxfId="0" operator="equal" stopIfTrue="1">
      <formula>"BŁĄD"</formula>
    </cfRule>
  </conditionalFormatting>
  <conditionalFormatting sqref="E166:N166">
    <cfRule type="cellIs" priority="2" dxfId="0" operator="equal" stopIfTrue="1">
      <formula>"BŁĄD"</formula>
    </cfRule>
  </conditionalFormatting>
  <conditionalFormatting sqref="E162:N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8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2" t="s">
        <v>319</v>
      </c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2:16" ht="14.25">
      <c r="B2" s="54" t="s">
        <v>309</v>
      </c>
      <c r="C2" s="54"/>
      <c r="D2" s="55"/>
      <c r="E2" s="56"/>
      <c r="F2" s="333" t="s">
        <v>320</v>
      </c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2:16" ht="14.25">
      <c r="B3" s="59" t="s">
        <v>475</v>
      </c>
      <c r="C3" s="54"/>
      <c r="D3" s="55"/>
      <c r="E3" s="56"/>
      <c r="F3" s="334" t="s">
        <v>308</v>
      </c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uchwała</v>
      </c>
      <c r="F5" s="59"/>
      <c r="G5" s="64"/>
      <c r="I5" s="65" t="str">
        <f>D6&amp;" - "&amp;"WPF za lata "&amp;D7&amp;" - Nr Uchwały JST: "&amp;D5</f>
        <v>GODZIESZE WIELKIE - WPF za lata 2017 - 2026 - Nr Uchwały JST: uchwała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2017 - 2026</v>
      </c>
      <c r="G7" s="69"/>
      <c r="J7" s="254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8"/>
      <c r="E8" s="335" t="s">
        <v>316</v>
      </c>
      <c r="F8" s="335"/>
      <c r="G8" s="146" t="s">
        <v>315</v>
      </c>
      <c r="H8" s="146" t="s">
        <v>316</v>
      </c>
      <c r="I8" s="154">
        <f>""</f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5" t="s">
        <v>326</v>
      </c>
      <c r="B9" s="24" t="s">
        <v>0</v>
      </c>
      <c r="C9" s="71" t="s">
        <v>305</v>
      </c>
      <c r="D9" s="195" t="s">
        <v>1</v>
      </c>
      <c r="E9" s="250">
        <f>+F9-1</f>
        <v>2014</v>
      </c>
      <c r="F9" s="251">
        <f>+G9-1</f>
        <v>2015</v>
      </c>
      <c r="G9" s="251">
        <f>+H9</f>
        <v>2016</v>
      </c>
      <c r="H9" s="252">
        <f>+I9-1</f>
        <v>2016</v>
      </c>
      <c r="I9" s="72">
        <f>+DaneZrodlowe!$N$1</f>
        <v>2017</v>
      </c>
      <c r="J9" s="73">
        <f>+I9+1</f>
        <v>2018</v>
      </c>
      <c r="K9" s="73">
        <f aca="true" t="shared" si="0" ref="K9:AL9">+J9+1</f>
        <v>2019</v>
      </c>
      <c r="L9" s="73">
        <f t="shared" si="0"/>
        <v>2020</v>
      </c>
      <c r="M9" s="73">
        <f t="shared" si="0"/>
        <v>2021</v>
      </c>
      <c r="N9" s="73">
        <f t="shared" si="0"/>
        <v>2022</v>
      </c>
      <c r="O9" s="73">
        <f t="shared" si="0"/>
        <v>2023</v>
      </c>
      <c r="P9" s="73">
        <f t="shared" si="0"/>
        <v>2024</v>
      </c>
      <c r="Q9" s="73">
        <f t="shared" si="0"/>
        <v>2025</v>
      </c>
      <c r="R9" s="73">
        <f t="shared" si="0"/>
        <v>2026</v>
      </c>
      <c r="S9" s="73">
        <f t="shared" si="0"/>
        <v>2027</v>
      </c>
      <c r="T9" s="73">
        <f t="shared" si="0"/>
        <v>2028</v>
      </c>
      <c r="U9" s="73">
        <f t="shared" si="0"/>
        <v>2029</v>
      </c>
      <c r="V9" s="73">
        <f t="shared" si="0"/>
        <v>2030</v>
      </c>
      <c r="W9" s="73">
        <f t="shared" si="0"/>
        <v>2031</v>
      </c>
      <c r="X9" s="73">
        <f t="shared" si="0"/>
        <v>2032</v>
      </c>
      <c r="Y9" s="73">
        <f t="shared" si="0"/>
        <v>2033</v>
      </c>
      <c r="Z9" s="73">
        <f t="shared" si="0"/>
        <v>2034</v>
      </c>
      <c r="AA9" s="73">
        <f t="shared" si="0"/>
        <v>2035</v>
      </c>
      <c r="AB9" s="73">
        <f t="shared" si="0"/>
        <v>2036</v>
      </c>
      <c r="AC9" s="73">
        <f t="shared" si="0"/>
        <v>2037</v>
      </c>
      <c r="AD9" s="73">
        <f t="shared" si="0"/>
        <v>2038</v>
      </c>
      <c r="AE9" s="73">
        <f t="shared" si="0"/>
        <v>2039</v>
      </c>
      <c r="AF9" s="73">
        <f t="shared" si="0"/>
        <v>2040</v>
      </c>
      <c r="AG9" s="73">
        <f t="shared" si="0"/>
        <v>2041</v>
      </c>
      <c r="AH9" s="73">
        <f t="shared" si="0"/>
        <v>2042</v>
      </c>
      <c r="AI9" s="73">
        <f t="shared" si="0"/>
        <v>2043</v>
      </c>
      <c r="AJ9" s="73">
        <f t="shared" si="0"/>
        <v>2044</v>
      </c>
      <c r="AK9" s="73">
        <f t="shared" si="0"/>
        <v>2045</v>
      </c>
      <c r="AL9" s="74">
        <f t="shared" si="0"/>
        <v>2046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3" t="s">
        <v>28</v>
      </c>
      <c r="B10" s="29">
        <v>1</v>
      </c>
      <c r="C10" s="260" t="s">
        <v>306</v>
      </c>
      <c r="D10" s="197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35686877.99</v>
      </c>
      <c r="J10" s="52">
        <f aca="true" t="shared" si="1" ref="J10:AL10">+J11+J18</f>
        <v>37978209</v>
      </c>
      <c r="K10" s="52">
        <f t="shared" si="1"/>
        <v>38085749</v>
      </c>
      <c r="L10" s="52">
        <f t="shared" si="1"/>
        <v>36097762</v>
      </c>
      <c r="M10" s="52">
        <f t="shared" si="1"/>
        <v>36458762</v>
      </c>
      <c r="N10" s="52">
        <f t="shared" si="1"/>
        <v>36458762</v>
      </c>
      <c r="O10" s="52">
        <f t="shared" si="1"/>
        <v>36458762</v>
      </c>
      <c r="P10" s="52">
        <f t="shared" si="1"/>
        <v>36458762</v>
      </c>
      <c r="Q10" s="52">
        <f t="shared" si="1"/>
        <v>36458762</v>
      </c>
      <c r="R10" s="52">
        <f t="shared" si="1"/>
        <v>36458762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3" t="s">
        <v>28</v>
      </c>
      <c r="B11" s="30" t="s">
        <v>132</v>
      </c>
      <c r="C11" s="79"/>
      <c r="D11" s="198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5" t="e">
        <f>'Zał.1_WPF_bazowy'!#REF!</f>
        <v>#REF!</v>
      </c>
      <c r="I11" s="156">
        <f>+'Zał.1_WPF_bazowy'!E11</f>
        <v>35444627.99</v>
      </c>
      <c r="J11" s="157">
        <f>+'Zał.1_WPF_bazowy'!F11</f>
        <v>35246765</v>
      </c>
      <c r="K11" s="157">
        <f>+'Zał.1_WPF_bazowy'!G11</f>
        <v>35669726</v>
      </c>
      <c r="L11" s="157">
        <f>+'Zał.1_WPF_bazowy'!H11</f>
        <v>36097762</v>
      </c>
      <c r="M11" s="157">
        <f>+'Zał.1_WPF_bazowy'!I11</f>
        <v>36458762</v>
      </c>
      <c r="N11" s="157">
        <f>+'Zał.1_WPF_bazowy'!J11</f>
        <v>36458762</v>
      </c>
      <c r="O11" s="157">
        <f>+'Zał.1_WPF_bazowy'!K11</f>
        <v>36458762</v>
      </c>
      <c r="P11" s="157">
        <f>+'Zał.1_WPF_bazowy'!L11</f>
        <v>36458762</v>
      </c>
      <c r="Q11" s="157">
        <f>+'Zał.1_WPF_bazowy'!M11</f>
        <v>36458762</v>
      </c>
      <c r="R11" s="157">
        <f>+'Zał.1_WPF_bazowy'!N11</f>
        <v>36458762</v>
      </c>
      <c r="S11" s="157" t="e">
        <f>+'Zał.1_WPF_bazowy'!#REF!</f>
        <v>#REF!</v>
      </c>
      <c r="T11" s="157" t="e">
        <f>+'Zał.1_WPF_bazowy'!#REF!</f>
        <v>#REF!</v>
      </c>
      <c r="U11" s="157" t="e">
        <f>+'Zał.1_WPF_bazowy'!#REF!</f>
        <v>#REF!</v>
      </c>
      <c r="V11" s="157" t="e">
        <f>+'Zał.1_WPF_bazowy'!#REF!</f>
        <v>#REF!</v>
      </c>
      <c r="W11" s="157" t="e">
        <f>+'Zał.1_WPF_bazowy'!#REF!</f>
        <v>#REF!</v>
      </c>
      <c r="X11" s="157" t="e">
        <f>+'Zał.1_WPF_bazowy'!#REF!</f>
        <v>#REF!</v>
      </c>
      <c r="Y11" s="157" t="e">
        <f>+'Zał.1_WPF_bazowy'!#REF!</f>
        <v>#REF!</v>
      </c>
      <c r="Z11" s="157" t="e">
        <f>+'Zał.1_WPF_bazowy'!#REF!</f>
        <v>#REF!</v>
      </c>
      <c r="AA11" s="157" t="e">
        <f>+'Zał.1_WPF_bazowy'!#REF!</f>
        <v>#REF!</v>
      </c>
      <c r="AB11" s="157" t="e">
        <f>+'Zał.1_WPF_bazowy'!#REF!</f>
        <v>#REF!</v>
      </c>
      <c r="AC11" s="157" t="e">
        <f>+'Zał.1_WPF_bazowy'!#REF!</f>
        <v>#REF!</v>
      </c>
      <c r="AD11" s="157" t="e">
        <f>+'Zał.1_WPF_bazowy'!#REF!</f>
        <v>#REF!</v>
      </c>
      <c r="AE11" s="157" t="e">
        <f>+'Zał.1_WPF_bazowy'!#REF!</f>
        <v>#REF!</v>
      </c>
      <c r="AF11" s="157" t="e">
        <f>+'Zał.1_WPF_bazowy'!#REF!</f>
        <v>#REF!</v>
      </c>
      <c r="AG11" s="157" t="e">
        <f>+'Zał.1_WPF_bazowy'!#REF!</f>
        <v>#REF!</v>
      </c>
      <c r="AH11" s="157" t="e">
        <f>+'Zał.1_WPF_bazowy'!#REF!</f>
        <v>#REF!</v>
      </c>
      <c r="AI11" s="157" t="e">
        <f>+'Zał.1_WPF_bazowy'!#REF!</f>
        <v>#REF!</v>
      </c>
      <c r="AJ11" s="157" t="e">
        <f>+'Zał.1_WPF_bazowy'!#REF!</f>
        <v>#REF!</v>
      </c>
      <c r="AK11" s="157" t="e">
        <f>+'Zał.1_WPF_bazowy'!#REF!</f>
        <v>#REF!</v>
      </c>
      <c r="AL11" s="158" t="e">
        <f>+'Zał.1_WPF_bazowy'!#REF!</f>
        <v>#REF!</v>
      </c>
    </row>
    <row r="12" spans="1:38" ht="14.25" outlineLevel="2">
      <c r="A12" s="243"/>
      <c r="B12" s="30" t="s">
        <v>37</v>
      </c>
      <c r="C12" s="79"/>
      <c r="D12" s="199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5" t="e">
        <f>'Zał.1_WPF_bazowy'!#REF!</f>
        <v>#REF!</v>
      </c>
      <c r="I12" s="156">
        <f>+'Zał.1_WPF_bazowy'!E12</f>
        <v>5093535</v>
      </c>
      <c r="J12" s="157">
        <f>+'Zał.1_WPF_bazowy'!F12</f>
        <v>5150000</v>
      </c>
      <c r="K12" s="157">
        <f>+'Zał.1_WPF_bazowy'!G12</f>
        <v>5211800</v>
      </c>
      <c r="L12" s="157">
        <f>+'Zał.1_WPF_bazowy'!H12</f>
        <v>5275000</v>
      </c>
      <c r="M12" s="157">
        <f>+'Zał.1_WPF_bazowy'!I12</f>
        <v>5275000</v>
      </c>
      <c r="N12" s="157">
        <f>+'Zał.1_WPF_bazowy'!J12</f>
        <v>5275000</v>
      </c>
      <c r="O12" s="157">
        <f>+'Zał.1_WPF_bazowy'!K12</f>
        <v>5275000</v>
      </c>
      <c r="P12" s="157">
        <f>+'Zał.1_WPF_bazowy'!L12</f>
        <v>5275000</v>
      </c>
      <c r="Q12" s="157">
        <f>+'Zał.1_WPF_bazowy'!M12</f>
        <v>5275000</v>
      </c>
      <c r="R12" s="157">
        <f>+'Zał.1_WPF_bazowy'!N12</f>
        <v>5275000</v>
      </c>
      <c r="S12" s="157" t="e">
        <f>+'Zał.1_WPF_bazowy'!#REF!</f>
        <v>#REF!</v>
      </c>
      <c r="T12" s="157" t="e">
        <f>+'Zał.1_WPF_bazowy'!#REF!</f>
        <v>#REF!</v>
      </c>
      <c r="U12" s="157" t="e">
        <f>+'Zał.1_WPF_bazowy'!#REF!</f>
        <v>#REF!</v>
      </c>
      <c r="V12" s="157" t="e">
        <f>+'Zał.1_WPF_bazowy'!#REF!</f>
        <v>#REF!</v>
      </c>
      <c r="W12" s="157" t="e">
        <f>+'Zał.1_WPF_bazowy'!#REF!</f>
        <v>#REF!</v>
      </c>
      <c r="X12" s="157" t="e">
        <f>+'Zał.1_WPF_bazowy'!#REF!</f>
        <v>#REF!</v>
      </c>
      <c r="Y12" s="157" t="e">
        <f>+'Zał.1_WPF_bazowy'!#REF!</f>
        <v>#REF!</v>
      </c>
      <c r="Z12" s="157" t="e">
        <f>+'Zał.1_WPF_bazowy'!#REF!</f>
        <v>#REF!</v>
      </c>
      <c r="AA12" s="157" t="e">
        <f>+'Zał.1_WPF_bazowy'!#REF!</f>
        <v>#REF!</v>
      </c>
      <c r="AB12" s="157" t="e">
        <f>+'Zał.1_WPF_bazowy'!#REF!</f>
        <v>#REF!</v>
      </c>
      <c r="AC12" s="157" t="e">
        <f>+'Zał.1_WPF_bazowy'!#REF!</f>
        <v>#REF!</v>
      </c>
      <c r="AD12" s="157" t="e">
        <f>+'Zał.1_WPF_bazowy'!#REF!</f>
        <v>#REF!</v>
      </c>
      <c r="AE12" s="157" t="e">
        <f>+'Zał.1_WPF_bazowy'!#REF!</f>
        <v>#REF!</v>
      </c>
      <c r="AF12" s="157" t="e">
        <f>+'Zał.1_WPF_bazowy'!#REF!</f>
        <v>#REF!</v>
      </c>
      <c r="AG12" s="157" t="e">
        <f>+'Zał.1_WPF_bazowy'!#REF!</f>
        <v>#REF!</v>
      </c>
      <c r="AH12" s="157" t="e">
        <f>+'Zał.1_WPF_bazowy'!#REF!</f>
        <v>#REF!</v>
      </c>
      <c r="AI12" s="157" t="e">
        <f>+'Zał.1_WPF_bazowy'!#REF!</f>
        <v>#REF!</v>
      </c>
      <c r="AJ12" s="157" t="e">
        <f>+'Zał.1_WPF_bazowy'!#REF!</f>
        <v>#REF!</v>
      </c>
      <c r="AK12" s="157" t="e">
        <f>+'Zał.1_WPF_bazowy'!#REF!</f>
        <v>#REF!</v>
      </c>
      <c r="AL12" s="158" t="e">
        <f>+'Zał.1_WPF_bazowy'!#REF!</f>
        <v>#REF!</v>
      </c>
    </row>
    <row r="13" spans="1:38" ht="14.25" outlineLevel="2">
      <c r="A13" s="243"/>
      <c r="B13" s="30" t="s">
        <v>39</v>
      </c>
      <c r="C13" s="79"/>
      <c r="D13" s="199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5" t="e">
        <f>'Zał.1_WPF_bazowy'!#REF!</f>
        <v>#REF!</v>
      </c>
      <c r="I13" s="156">
        <f>+'Zał.1_WPF_bazowy'!E13</f>
        <v>1000</v>
      </c>
      <c r="J13" s="157">
        <f>+'Zał.1_WPF_bazowy'!F13</f>
        <v>1100</v>
      </c>
      <c r="K13" s="157">
        <f>+'Zał.1_WPF_bazowy'!G13</f>
        <v>1100</v>
      </c>
      <c r="L13" s="157">
        <f>+'Zał.1_WPF_bazowy'!H13</f>
        <v>1100</v>
      </c>
      <c r="M13" s="157">
        <f>+'Zał.1_WPF_bazowy'!I13</f>
        <v>1100</v>
      </c>
      <c r="N13" s="157">
        <f>+'Zał.1_WPF_bazowy'!J13</f>
        <v>1100</v>
      </c>
      <c r="O13" s="157">
        <f>+'Zał.1_WPF_bazowy'!K13</f>
        <v>1100</v>
      </c>
      <c r="P13" s="157">
        <f>+'Zał.1_WPF_bazowy'!L13</f>
        <v>1100</v>
      </c>
      <c r="Q13" s="157">
        <f>+'Zał.1_WPF_bazowy'!M13</f>
        <v>1100</v>
      </c>
      <c r="R13" s="157">
        <f>+'Zał.1_WPF_bazowy'!N13</f>
        <v>1100</v>
      </c>
      <c r="S13" s="157" t="e">
        <f>+'Zał.1_WPF_bazowy'!#REF!</f>
        <v>#REF!</v>
      </c>
      <c r="T13" s="157" t="e">
        <f>+'Zał.1_WPF_bazowy'!#REF!</f>
        <v>#REF!</v>
      </c>
      <c r="U13" s="157" t="e">
        <f>+'Zał.1_WPF_bazowy'!#REF!</f>
        <v>#REF!</v>
      </c>
      <c r="V13" s="157" t="e">
        <f>+'Zał.1_WPF_bazowy'!#REF!</f>
        <v>#REF!</v>
      </c>
      <c r="W13" s="157" t="e">
        <f>+'Zał.1_WPF_bazowy'!#REF!</f>
        <v>#REF!</v>
      </c>
      <c r="X13" s="157" t="e">
        <f>+'Zał.1_WPF_bazowy'!#REF!</f>
        <v>#REF!</v>
      </c>
      <c r="Y13" s="157" t="e">
        <f>+'Zał.1_WPF_bazowy'!#REF!</f>
        <v>#REF!</v>
      </c>
      <c r="Z13" s="157" t="e">
        <f>+'Zał.1_WPF_bazowy'!#REF!</f>
        <v>#REF!</v>
      </c>
      <c r="AA13" s="157" t="e">
        <f>+'Zał.1_WPF_bazowy'!#REF!</f>
        <v>#REF!</v>
      </c>
      <c r="AB13" s="157" t="e">
        <f>+'Zał.1_WPF_bazowy'!#REF!</f>
        <v>#REF!</v>
      </c>
      <c r="AC13" s="157" t="e">
        <f>+'Zał.1_WPF_bazowy'!#REF!</f>
        <v>#REF!</v>
      </c>
      <c r="AD13" s="157" t="e">
        <f>+'Zał.1_WPF_bazowy'!#REF!</f>
        <v>#REF!</v>
      </c>
      <c r="AE13" s="157" t="e">
        <f>+'Zał.1_WPF_bazowy'!#REF!</f>
        <v>#REF!</v>
      </c>
      <c r="AF13" s="157" t="e">
        <f>+'Zał.1_WPF_bazowy'!#REF!</f>
        <v>#REF!</v>
      </c>
      <c r="AG13" s="157" t="e">
        <f>+'Zał.1_WPF_bazowy'!#REF!</f>
        <v>#REF!</v>
      </c>
      <c r="AH13" s="157" t="e">
        <f>+'Zał.1_WPF_bazowy'!#REF!</f>
        <v>#REF!</v>
      </c>
      <c r="AI13" s="157" t="e">
        <f>+'Zał.1_WPF_bazowy'!#REF!</f>
        <v>#REF!</v>
      </c>
      <c r="AJ13" s="157" t="e">
        <f>+'Zał.1_WPF_bazowy'!#REF!</f>
        <v>#REF!</v>
      </c>
      <c r="AK13" s="157" t="e">
        <f>+'Zał.1_WPF_bazowy'!#REF!</f>
        <v>#REF!</v>
      </c>
      <c r="AL13" s="158" t="e">
        <f>+'Zał.1_WPF_bazowy'!#REF!</f>
        <v>#REF!</v>
      </c>
    </row>
    <row r="14" spans="1:38" ht="14.25" outlineLevel="2">
      <c r="A14" s="243"/>
      <c r="B14" s="30" t="s">
        <v>41</v>
      </c>
      <c r="C14" s="79"/>
      <c r="D14" s="199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5" t="e">
        <f>'Zał.1_WPF_bazowy'!#REF!</f>
        <v>#REF!</v>
      </c>
      <c r="I14" s="156">
        <f>+'Zał.1_WPF_bazowy'!E14</f>
        <v>4065945.21</v>
      </c>
      <c r="J14" s="157">
        <f>+'Zał.1_WPF_bazowy'!F14</f>
        <v>4100000</v>
      </c>
      <c r="K14" s="157">
        <f>+'Zał.1_WPF_bazowy'!G14</f>
        <v>4150000</v>
      </c>
      <c r="L14" s="157">
        <f>+'Zał.1_WPF_bazowy'!H14</f>
        <v>4200000</v>
      </c>
      <c r="M14" s="157">
        <f>+'Zał.1_WPF_bazowy'!I14</f>
        <v>4242000</v>
      </c>
      <c r="N14" s="157">
        <f>+'Zał.1_WPF_bazowy'!J14</f>
        <v>4242000</v>
      </c>
      <c r="O14" s="157">
        <f>+'Zał.1_WPF_bazowy'!K14</f>
        <v>4242000</v>
      </c>
      <c r="P14" s="157">
        <f>+'Zał.1_WPF_bazowy'!L14</f>
        <v>4242000</v>
      </c>
      <c r="Q14" s="157">
        <f>+'Zał.1_WPF_bazowy'!M14</f>
        <v>4242000</v>
      </c>
      <c r="R14" s="157">
        <f>+'Zał.1_WPF_bazowy'!N14</f>
        <v>4242000</v>
      </c>
      <c r="S14" s="157" t="e">
        <f>+'Zał.1_WPF_bazowy'!#REF!</f>
        <v>#REF!</v>
      </c>
      <c r="T14" s="157" t="e">
        <f>+'Zał.1_WPF_bazowy'!#REF!</f>
        <v>#REF!</v>
      </c>
      <c r="U14" s="157" t="e">
        <f>+'Zał.1_WPF_bazowy'!#REF!</f>
        <v>#REF!</v>
      </c>
      <c r="V14" s="157" t="e">
        <f>+'Zał.1_WPF_bazowy'!#REF!</f>
        <v>#REF!</v>
      </c>
      <c r="W14" s="157" t="e">
        <f>+'Zał.1_WPF_bazowy'!#REF!</f>
        <v>#REF!</v>
      </c>
      <c r="X14" s="157" t="e">
        <f>+'Zał.1_WPF_bazowy'!#REF!</f>
        <v>#REF!</v>
      </c>
      <c r="Y14" s="157" t="e">
        <f>+'Zał.1_WPF_bazowy'!#REF!</f>
        <v>#REF!</v>
      </c>
      <c r="Z14" s="157" t="e">
        <f>+'Zał.1_WPF_bazowy'!#REF!</f>
        <v>#REF!</v>
      </c>
      <c r="AA14" s="157" t="e">
        <f>+'Zał.1_WPF_bazowy'!#REF!</f>
        <v>#REF!</v>
      </c>
      <c r="AB14" s="157" t="e">
        <f>+'Zał.1_WPF_bazowy'!#REF!</f>
        <v>#REF!</v>
      </c>
      <c r="AC14" s="157" t="e">
        <f>+'Zał.1_WPF_bazowy'!#REF!</f>
        <v>#REF!</v>
      </c>
      <c r="AD14" s="157" t="e">
        <f>+'Zał.1_WPF_bazowy'!#REF!</f>
        <v>#REF!</v>
      </c>
      <c r="AE14" s="157" t="e">
        <f>+'Zał.1_WPF_bazowy'!#REF!</f>
        <v>#REF!</v>
      </c>
      <c r="AF14" s="157" t="e">
        <f>+'Zał.1_WPF_bazowy'!#REF!</f>
        <v>#REF!</v>
      </c>
      <c r="AG14" s="157" t="e">
        <f>+'Zał.1_WPF_bazowy'!#REF!</f>
        <v>#REF!</v>
      </c>
      <c r="AH14" s="157" t="e">
        <f>+'Zał.1_WPF_bazowy'!#REF!</f>
        <v>#REF!</v>
      </c>
      <c r="AI14" s="157" t="e">
        <f>+'Zał.1_WPF_bazowy'!#REF!</f>
        <v>#REF!</v>
      </c>
      <c r="AJ14" s="157" t="e">
        <f>+'Zał.1_WPF_bazowy'!#REF!</f>
        <v>#REF!</v>
      </c>
      <c r="AK14" s="157" t="e">
        <f>+'Zał.1_WPF_bazowy'!#REF!</f>
        <v>#REF!</v>
      </c>
      <c r="AL14" s="158" t="e">
        <f>+'Zał.1_WPF_bazowy'!#REF!</f>
        <v>#REF!</v>
      </c>
    </row>
    <row r="15" spans="1:38" ht="14.25" outlineLevel="2">
      <c r="A15" s="243"/>
      <c r="B15" s="30" t="s">
        <v>43</v>
      </c>
      <c r="C15" s="79"/>
      <c r="D15" s="200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5" t="e">
        <f>'Zał.1_WPF_bazowy'!#REF!</f>
        <v>#REF!</v>
      </c>
      <c r="I15" s="156">
        <f>+'Zał.1_WPF_bazowy'!E15</f>
        <v>2268000</v>
      </c>
      <c r="J15" s="157">
        <f>+'Zał.1_WPF_bazowy'!F15</f>
        <v>2300000</v>
      </c>
      <c r="K15" s="157">
        <f>+'Zał.1_WPF_bazowy'!G15</f>
        <v>2330000</v>
      </c>
      <c r="L15" s="157">
        <f>+'Zał.1_WPF_bazowy'!H15</f>
        <v>2360000</v>
      </c>
      <c r="M15" s="157">
        <f>+'Zał.1_WPF_bazowy'!I15</f>
        <v>2400000</v>
      </c>
      <c r="N15" s="157">
        <f>+'Zał.1_WPF_bazowy'!J15</f>
        <v>2400000</v>
      </c>
      <c r="O15" s="157">
        <f>+'Zał.1_WPF_bazowy'!K15</f>
        <v>2400000</v>
      </c>
      <c r="P15" s="157">
        <f>+'Zał.1_WPF_bazowy'!L15</f>
        <v>2400000</v>
      </c>
      <c r="Q15" s="157">
        <f>+'Zał.1_WPF_bazowy'!M15</f>
        <v>2400000</v>
      </c>
      <c r="R15" s="157">
        <f>+'Zał.1_WPF_bazowy'!N15</f>
        <v>2400000</v>
      </c>
      <c r="S15" s="157" t="e">
        <f>+'Zał.1_WPF_bazowy'!#REF!</f>
        <v>#REF!</v>
      </c>
      <c r="T15" s="157" t="e">
        <f>+'Zał.1_WPF_bazowy'!#REF!</f>
        <v>#REF!</v>
      </c>
      <c r="U15" s="157" t="e">
        <f>+'Zał.1_WPF_bazowy'!#REF!</f>
        <v>#REF!</v>
      </c>
      <c r="V15" s="157" t="e">
        <f>+'Zał.1_WPF_bazowy'!#REF!</f>
        <v>#REF!</v>
      </c>
      <c r="W15" s="157" t="e">
        <f>+'Zał.1_WPF_bazowy'!#REF!</f>
        <v>#REF!</v>
      </c>
      <c r="X15" s="157" t="e">
        <f>+'Zał.1_WPF_bazowy'!#REF!</f>
        <v>#REF!</v>
      </c>
      <c r="Y15" s="157" t="e">
        <f>+'Zał.1_WPF_bazowy'!#REF!</f>
        <v>#REF!</v>
      </c>
      <c r="Z15" s="157" t="e">
        <f>+'Zał.1_WPF_bazowy'!#REF!</f>
        <v>#REF!</v>
      </c>
      <c r="AA15" s="157" t="e">
        <f>+'Zał.1_WPF_bazowy'!#REF!</f>
        <v>#REF!</v>
      </c>
      <c r="AB15" s="157" t="e">
        <f>+'Zał.1_WPF_bazowy'!#REF!</f>
        <v>#REF!</v>
      </c>
      <c r="AC15" s="157" t="e">
        <f>+'Zał.1_WPF_bazowy'!#REF!</f>
        <v>#REF!</v>
      </c>
      <c r="AD15" s="157" t="e">
        <f>+'Zał.1_WPF_bazowy'!#REF!</f>
        <v>#REF!</v>
      </c>
      <c r="AE15" s="157" t="e">
        <f>+'Zał.1_WPF_bazowy'!#REF!</f>
        <v>#REF!</v>
      </c>
      <c r="AF15" s="157" t="e">
        <f>+'Zał.1_WPF_bazowy'!#REF!</f>
        <v>#REF!</v>
      </c>
      <c r="AG15" s="157" t="e">
        <f>+'Zał.1_WPF_bazowy'!#REF!</f>
        <v>#REF!</v>
      </c>
      <c r="AH15" s="157" t="e">
        <f>+'Zał.1_WPF_bazowy'!#REF!</f>
        <v>#REF!</v>
      </c>
      <c r="AI15" s="157" t="e">
        <f>+'Zał.1_WPF_bazowy'!#REF!</f>
        <v>#REF!</v>
      </c>
      <c r="AJ15" s="157" t="e">
        <f>+'Zał.1_WPF_bazowy'!#REF!</f>
        <v>#REF!</v>
      </c>
      <c r="AK15" s="157" t="e">
        <f>+'Zał.1_WPF_bazowy'!#REF!</f>
        <v>#REF!</v>
      </c>
      <c r="AL15" s="158" t="e">
        <f>+'Zał.1_WPF_bazowy'!#REF!</f>
        <v>#REF!</v>
      </c>
    </row>
    <row r="16" spans="1:253" s="70" customFormat="1" ht="15" outlineLevel="2" thickBot="1">
      <c r="A16" s="243"/>
      <c r="B16" s="30" t="s">
        <v>45</v>
      </c>
      <c r="C16" s="79"/>
      <c r="D16" s="199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5" t="e">
        <f>'Zał.1_WPF_bazowy'!#REF!</f>
        <v>#REF!</v>
      </c>
      <c r="I16" s="156">
        <f>+'Zał.1_WPF_bazowy'!E16</f>
        <v>12071315</v>
      </c>
      <c r="J16" s="157">
        <f>+'Zał.1_WPF_bazowy'!F16</f>
        <v>12000000</v>
      </c>
      <c r="K16" s="157">
        <f>+'Zał.1_WPF_bazowy'!G16</f>
        <v>12150000</v>
      </c>
      <c r="L16" s="157">
        <f>+'Zał.1_WPF_bazowy'!H16</f>
        <v>12300000</v>
      </c>
      <c r="M16" s="157">
        <f>+'Zał.1_WPF_bazowy'!I16</f>
        <v>12400000</v>
      </c>
      <c r="N16" s="157">
        <f>+'Zał.1_WPF_bazowy'!J16</f>
        <v>12400000</v>
      </c>
      <c r="O16" s="157">
        <f>+'Zał.1_WPF_bazowy'!K16</f>
        <v>12400000</v>
      </c>
      <c r="P16" s="157">
        <f>+'Zał.1_WPF_bazowy'!L16</f>
        <v>12400000</v>
      </c>
      <c r="Q16" s="157">
        <f>+'Zał.1_WPF_bazowy'!M16</f>
        <v>12400000</v>
      </c>
      <c r="R16" s="157">
        <f>+'Zał.1_WPF_bazowy'!N16</f>
        <v>12400000</v>
      </c>
      <c r="S16" s="157" t="e">
        <f>+'Zał.1_WPF_bazowy'!#REF!</f>
        <v>#REF!</v>
      </c>
      <c r="T16" s="157" t="e">
        <f>+'Zał.1_WPF_bazowy'!#REF!</f>
        <v>#REF!</v>
      </c>
      <c r="U16" s="157" t="e">
        <f>+'Zał.1_WPF_bazowy'!#REF!</f>
        <v>#REF!</v>
      </c>
      <c r="V16" s="157" t="e">
        <f>+'Zał.1_WPF_bazowy'!#REF!</f>
        <v>#REF!</v>
      </c>
      <c r="W16" s="157" t="e">
        <f>+'Zał.1_WPF_bazowy'!#REF!</f>
        <v>#REF!</v>
      </c>
      <c r="X16" s="157" t="e">
        <f>+'Zał.1_WPF_bazowy'!#REF!</f>
        <v>#REF!</v>
      </c>
      <c r="Y16" s="157" t="e">
        <f>+'Zał.1_WPF_bazowy'!#REF!</f>
        <v>#REF!</v>
      </c>
      <c r="Z16" s="157" t="e">
        <f>+'Zał.1_WPF_bazowy'!#REF!</f>
        <v>#REF!</v>
      </c>
      <c r="AA16" s="157" t="e">
        <f>+'Zał.1_WPF_bazowy'!#REF!</f>
        <v>#REF!</v>
      </c>
      <c r="AB16" s="157" t="e">
        <f>+'Zał.1_WPF_bazowy'!#REF!</f>
        <v>#REF!</v>
      </c>
      <c r="AC16" s="157" t="e">
        <f>+'Zał.1_WPF_bazowy'!#REF!</f>
        <v>#REF!</v>
      </c>
      <c r="AD16" s="157" t="e">
        <f>+'Zał.1_WPF_bazowy'!#REF!</f>
        <v>#REF!</v>
      </c>
      <c r="AE16" s="157" t="e">
        <f>+'Zał.1_WPF_bazowy'!#REF!</f>
        <v>#REF!</v>
      </c>
      <c r="AF16" s="157" t="e">
        <f>+'Zał.1_WPF_bazowy'!#REF!</f>
        <v>#REF!</v>
      </c>
      <c r="AG16" s="157" t="e">
        <f>+'Zał.1_WPF_bazowy'!#REF!</f>
        <v>#REF!</v>
      </c>
      <c r="AH16" s="157" t="e">
        <f>+'Zał.1_WPF_bazowy'!#REF!</f>
        <v>#REF!</v>
      </c>
      <c r="AI16" s="157" t="e">
        <f>+'Zał.1_WPF_bazowy'!#REF!</f>
        <v>#REF!</v>
      </c>
      <c r="AJ16" s="157" t="e">
        <f>+'Zał.1_WPF_bazowy'!#REF!</f>
        <v>#REF!</v>
      </c>
      <c r="AK16" s="157" t="e">
        <f>+'Zał.1_WPF_bazowy'!#REF!</f>
        <v>#REF!</v>
      </c>
      <c r="AL16" s="158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3"/>
      <c r="B17" s="30" t="s">
        <v>47</v>
      </c>
      <c r="C17" s="79"/>
      <c r="D17" s="199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5" t="e">
        <f>'Zał.1_WPF_bazowy'!#REF!</f>
        <v>#REF!</v>
      </c>
      <c r="I17" s="156">
        <f>+'Zał.1_WPF_bazowy'!E17</f>
        <v>12537595.78</v>
      </c>
      <c r="J17" s="157">
        <f>+'Zał.1_WPF_bazowy'!F17</f>
        <v>12450000</v>
      </c>
      <c r="K17" s="157">
        <f>+'Zał.1_WPF_bazowy'!G17</f>
        <v>12580000</v>
      </c>
      <c r="L17" s="157">
        <f>+'Zał.1_WPF_bazowy'!H17</f>
        <v>12730000</v>
      </c>
      <c r="M17" s="157">
        <f>+'Zał.1_WPF_bazowy'!I17</f>
        <v>12850000</v>
      </c>
      <c r="N17" s="157">
        <f>+'Zał.1_WPF_bazowy'!J17</f>
        <v>12850000</v>
      </c>
      <c r="O17" s="157">
        <f>+'Zał.1_WPF_bazowy'!K17</f>
        <v>12850000</v>
      </c>
      <c r="P17" s="157">
        <f>+'Zał.1_WPF_bazowy'!L17</f>
        <v>12850000</v>
      </c>
      <c r="Q17" s="157">
        <f>+'Zał.1_WPF_bazowy'!M17</f>
        <v>12850000</v>
      </c>
      <c r="R17" s="157">
        <f>+'Zał.1_WPF_bazowy'!N17</f>
        <v>12850000</v>
      </c>
      <c r="S17" s="157" t="e">
        <f>+'Zał.1_WPF_bazowy'!#REF!</f>
        <v>#REF!</v>
      </c>
      <c r="T17" s="157" t="e">
        <f>+'Zał.1_WPF_bazowy'!#REF!</f>
        <v>#REF!</v>
      </c>
      <c r="U17" s="157" t="e">
        <f>+'Zał.1_WPF_bazowy'!#REF!</f>
        <v>#REF!</v>
      </c>
      <c r="V17" s="157" t="e">
        <f>+'Zał.1_WPF_bazowy'!#REF!</f>
        <v>#REF!</v>
      </c>
      <c r="W17" s="157" t="e">
        <f>+'Zał.1_WPF_bazowy'!#REF!</f>
        <v>#REF!</v>
      </c>
      <c r="X17" s="157" t="e">
        <f>+'Zał.1_WPF_bazowy'!#REF!</f>
        <v>#REF!</v>
      </c>
      <c r="Y17" s="157" t="e">
        <f>+'Zał.1_WPF_bazowy'!#REF!</f>
        <v>#REF!</v>
      </c>
      <c r="Z17" s="157" t="e">
        <f>+'Zał.1_WPF_bazowy'!#REF!</f>
        <v>#REF!</v>
      </c>
      <c r="AA17" s="157" t="e">
        <f>+'Zał.1_WPF_bazowy'!#REF!</f>
        <v>#REF!</v>
      </c>
      <c r="AB17" s="157" t="e">
        <f>+'Zał.1_WPF_bazowy'!#REF!</f>
        <v>#REF!</v>
      </c>
      <c r="AC17" s="157" t="e">
        <f>+'Zał.1_WPF_bazowy'!#REF!</f>
        <v>#REF!</v>
      </c>
      <c r="AD17" s="157" t="e">
        <f>+'Zał.1_WPF_bazowy'!#REF!</f>
        <v>#REF!</v>
      </c>
      <c r="AE17" s="157" t="e">
        <f>+'Zał.1_WPF_bazowy'!#REF!</f>
        <v>#REF!</v>
      </c>
      <c r="AF17" s="157" t="e">
        <f>+'Zał.1_WPF_bazowy'!#REF!</f>
        <v>#REF!</v>
      </c>
      <c r="AG17" s="157" t="e">
        <f>+'Zał.1_WPF_bazowy'!#REF!</f>
        <v>#REF!</v>
      </c>
      <c r="AH17" s="157" t="e">
        <f>+'Zał.1_WPF_bazowy'!#REF!</f>
        <v>#REF!</v>
      </c>
      <c r="AI17" s="157" t="e">
        <f>+'Zał.1_WPF_bazowy'!#REF!</f>
        <v>#REF!</v>
      </c>
      <c r="AJ17" s="157" t="e">
        <f>+'Zał.1_WPF_bazowy'!#REF!</f>
        <v>#REF!</v>
      </c>
      <c r="AK17" s="157" t="e">
        <f>+'Zał.1_WPF_bazowy'!#REF!</f>
        <v>#REF!</v>
      </c>
      <c r="AL17" s="158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3" t="s">
        <v>28</v>
      </c>
      <c r="B18" s="30" t="s">
        <v>133</v>
      </c>
      <c r="C18" s="79"/>
      <c r="D18" s="198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5" t="e">
        <f>'Zał.1_WPF_bazowy'!#REF!</f>
        <v>#REF!</v>
      </c>
      <c r="I18" s="156">
        <f>+'Zał.1_WPF_bazowy'!E18</f>
        <v>242250</v>
      </c>
      <c r="J18" s="157">
        <f>+'Zał.1_WPF_bazowy'!F18</f>
        <v>2731444</v>
      </c>
      <c r="K18" s="157">
        <f>+'Zał.1_WPF_bazowy'!G18</f>
        <v>2416023</v>
      </c>
      <c r="L18" s="157">
        <f>+'Zał.1_WPF_bazowy'!H18</f>
        <v>0</v>
      </c>
      <c r="M18" s="157">
        <f>+'Zał.1_WPF_bazowy'!I18</f>
        <v>0</v>
      </c>
      <c r="N18" s="157">
        <f>+'Zał.1_WPF_bazowy'!J18</f>
        <v>0</v>
      </c>
      <c r="O18" s="157">
        <f>+'Zał.1_WPF_bazowy'!K18</f>
        <v>0</v>
      </c>
      <c r="P18" s="157">
        <f>+'Zał.1_WPF_bazowy'!L18</f>
        <v>0</v>
      </c>
      <c r="Q18" s="157">
        <f>+'Zał.1_WPF_bazowy'!M18</f>
        <v>0</v>
      </c>
      <c r="R18" s="157">
        <f>+'Zał.1_WPF_bazowy'!N18</f>
        <v>0</v>
      </c>
      <c r="S18" s="157" t="e">
        <f>+'Zał.1_WPF_bazowy'!#REF!</f>
        <v>#REF!</v>
      </c>
      <c r="T18" s="157" t="e">
        <f>+'Zał.1_WPF_bazowy'!#REF!</f>
        <v>#REF!</v>
      </c>
      <c r="U18" s="157" t="e">
        <f>+'Zał.1_WPF_bazowy'!#REF!</f>
        <v>#REF!</v>
      </c>
      <c r="V18" s="157" t="e">
        <f>+'Zał.1_WPF_bazowy'!#REF!</f>
        <v>#REF!</v>
      </c>
      <c r="W18" s="157" t="e">
        <f>+'Zał.1_WPF_bazowy'!#REF!</f>
        <v>#REF!</v>
      </c>
      <c r="X18" s="157" t="e">
        <f>+'Zał.1_WPF_bazowy'!#REF!</f>
        <v>#REF!</v>
      </c>
      <c r="Y18" s="157" t="e">
        <f>+'Zał.1_WPF_bazowy'!#REF!</f>
        <v>#REF!</v>
      </c>
      <c r="Z18" s="157" t="e">
        <f>+'Zał.1_WPF_bazowy'!#REF!</f>
        <v>#REF!</v>
      </c>
      <c r="AA18" s="157" t="e">
        <f>+'Zał.1_WPF_bazowy'!#REF!</f>
        <v>#REF!</v>
      </c>
      <c r="AB18" s="157" t="e">
        <f>+'Zał.1_WPF_bazowy'!#REF!</f>
        <v>#REF!</v>
      </c>
      <c r="AC18" s="157" t="e">
        <f>+'Zał.1_WPF_bazowy'!#REF!</f>
        <v>#REF!</v>
      </c>
      <c r="AD18" s="157" t="e">
        <f>+'Zał.1_WPF_bazowy'!#REF!</f>
        <v>#REF!</v>
      </c>
      <c r="AE18" s="157" t="e">
        <f>+'Zał.1_WPF_bazowy'!#REF!</f>
        <v>#REF!</v>
      </c>
      <c r="AF18" s="157" t="e">
        <f>+'Zał.1_WPF_bazowy'!#REF!</f>
        <v>#REF!</v>
      </c>
      <c r="AG18" s="157" t="e">
        <f>+'Zał.1_WPF_bazowy'!#REF!</f>
        <v>#REF!</v>
      </c>
      <c r="AH18" s="157" t="e">
        <f>+'Zał.1_WPF_bazowy'!#REF!</f>
        <v>#REF!</v>
      </c>
      <c r="AI18" s="157" t="e">
        <f>+'Zał.1_WPF_bazowy'!#REF!</f>
        <v>#REF!</v>
      </c>
      <c r="AJ18" s="157" t="e">
        <f>+'Zał.1_WPF_bazowy'!#REF!</f>
        <v>#REF!</v>
      </c>
      <c r="AK18" s="157" t="e">
        <f>+'Zał.1_WPF_bazowy'!#REF!</f>
        <v>#REF!</v>
      </c>
      <c r="AL18" s="158" t="e">
        <f>+'Zał.1_WPF_bazowy'!#REF!</f>
        <v>#REF!</v>
      </c>
    </row>
    <row r="19" spans="1:38" ht="14.25" outlineLevel="2">
      <c r="A19" s="243" t="s">
        <v>28</v>
      </c>
      <c r="B19" s="30" t="s">
        <v>50</v>
      </c>
      <c r="C19" s="79"/>
      <c r="D19" s="199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5" t="e">
        <f>'Zał.1_WPF_bazowy'!#REF!</f>
        <v>#REF!</v>
      </c>
      <c r="I19" s="156">
        <f>+'Zał.1_WPF_bazowy'!E19</f>
        <v>0</v>
      </c>
      <c r="J19" s="157">
        <f>+'Zał.1_WPF_bazowy'!F19</f>
        <v>0</v>
      </c>
      <c r="K19" s="157">
        <f>+'Zał.1_WPF_bazowy'!G19</f>
        <v>0</v>
      </c>
      <c r="L19" s="157">
        <f>+'Zał.1_WPF_bazowy'!H19</f>
        <v>0</v>
      </c>
      <c r="M19" s="157">
        <f>+'Zał.1_WPF_bazowy'!I19</f>
        <v>0</v>
      </c>
      <c r="N19" s="157">
        <f>+'Zał.1_WPF_bazowy'!J19</f>
        <v>0</v>
      </c>
      <c r="O19" s="157">
        <f>+'Zał.1_WPF_bazowy'!K19</f>
        <v>0</v>
      </c>
      <c r="P19" s="157">
        <f>+'Zał.1_WPF_bazowy'!L19</f>
        <v>0</v>
      </c>
      <c r="Q19" s="157">
        <f>+'Zał.1_WPF_bazowy'!M19</f>
        <v>0</v>
      </c>
      <c r="R19" s="157">
        <f>+'Zał.1_WPF_bazowy'!N19</f>
        <v>0</v>
      </c>
      <c r="S19" s="157" t="e">
        <f>+'Zał.1_WPF_bazowy'!#REF!</f>
        <v>#REF!</v>
      </c>
      <c r="T19" s="157" t="e">
        <f>+'Zał.1_WPF_bazowy'!#REF!</f>
        <v>#REF!</v>
      </c>
      <c r="U19" s="157" t="e">
        <f>+'Zał.1_WPF_bazowy'!#REF!</f>
        <v>#REF!</v>
      </c>
      <c r="V19" s="157" t="e">
        <f>+'Zał.1_WPF_bazowy'!#REF!</f>
        <v>#REF!</v>
      </c>
      <c r="W19" s="157" t="e">
        <f>+'Zał.1_WPF_bazowy'!#REF!</f>
        <v>#REF!</v>
      </c>
      <c r="X19" s="157" t="e">
        <f>+'Zał.1_WPF_bazowy'!#REF!</f>
        <v>#REF!</v>
      </c>
      <c r="Y19" s="157" t="e">
        <f>+'Zał.1_WPF_bazowy'!#REF!</f>
        <v>#REF!</v>
      </c>
      <c r="Z19" s="157" t="e">
        <f>+'Zał.1_WPF_bazowy'!#REF!</f>
        <v>#REF!</v>
      </c>
      <c r="AA19" s="157" t="e">
        <f>+'Zał.1_WPF_bazowy'!#REF!</f>
        <v>#REF!</v>
      </c>
      <c r="AB19" s="157" t="e">
        <f>+'Zał.1_WPF_bazowy'!#REF!</f>
        <v>#REF!</v>
      </c>
      <c r="AC19" s="157" t="e">
        <f>+'Zał.1_WPF_bazowy'!#REF!</f>
        <v>#REF!</v>
      </c>
      <c r="AD19" s="157" t="e">
        <f>+'Zał.1_WPF_bazowy'!#REF!</f>
        <v>#REF!</v>
      </c>
      <c r="AE19" s="157" t="e">
        <f>+'Zał.1_WPF_bazowy'!#REF!</f>
        <v>#REF!</v>
      </c>
      <c r="AF19" s="157" t="e">
        <f>+'Zał.1_WPF_bazowy'!#REF!</f>
        <v>#REF!</v>
      </c>
      <c r="AG19" s="157" t="e">
        <f>+'Zał.1_WPF_bazowy'!#REF!</f>
        <v>#REF!</v>
      </c>
      <c r="AH19" s="157" t="e">
        <f>+'Zał.1_WPF_bazowy'!#REF!</f>
        <v>#REF!</v>
      </c>
      <c r="AI19" s="157" t="e">
        <f>+'Zał.1_WPF_bazowy'!#REF!</f>
        <v>#REF!</v>
      </c>
      <c r="AJ19" s="157" t="e">
        <f>+'Zał.1_WPF_bazowy'!#REF!</f>
        <v>#REF!</v>
      </c>
      <c r="AK19" s="157" t="e">
        <f>+'Zał.1_WPF_bazowy'!#REF!</f>
        <v>#REF!</v>
      </c>
      <c r="AL19" s="158" t="e">
        <f>+'Zał.1_WPF_bazowy'!#REF!</f>
        <v>#REF!</v>
      </c>
    </row>
    <row r="20" spans="1:38" ht="14.25" outlineLevel="2">
      <c r="A20" s="243"/>
      <c r="B20" s="30" t="s">
        <v>52</v>
      </c>
      <c r="C20" s="79"/>
      <c r="D20" s="199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5" t="e">
        <f>'Zał.1_WPF_bazowy'!#REF!</f>
        <v>#REF!</v>
      </c>
      <c r="I20" s="156">
        <f>+'Zał.1_WPF_bazowy'!E20</f>
        <v>242250</v>
      </c>
      <c r="J20" s="157">
        <f>+'Zał.1_WPF_bazowy'!F20</f>
        <v>2731444</v>
      </c>
      <c r="K20" s="157">
        <f>+'Zał.1_WPF_bazowy'!G20</f>
        <v>2416023</v>
      </c>
      <c r="L20" s="157">
        <f>+'Zał.1_WPF_bazowy'!H20</f>
        <v>0</v>
      </c>
      <c r="M20" s="157">
        <f>+'Zał.1_WPF_bazowy'!I20</f>
        <v>0</v>
      </c>
      <c r="N20" s="157">
        <f>+'Zał.1_WPF_bazowy'!J20</f>
        <v>0</v>
      </c>
      <c r="O20" s="157">
        <f>+'Zał.1_WPF_bazowy'!K20</f>
        <v>0</v>
      </c>
      <c r="P20" s="157">
        <f>+'Zał.1_WPF_bazowy'!L20</f>
        <v>0</v>
      </c>
      <c r="Q20" s="157">
        <f>+'Zał.1_WPF_bazowy'!M20</f>
        <v>0</v>
      </c>
      <c r="R20" s="157">
        <f>+'Zał.1_WPF_bazowy'!N20</f>
        <v>0</v>
      </c>
      <c r="S20" s="157" t="e">
        <f>+'Zał.1_WPF_bazowy'!#REF!</f>
        <v>#REF!</v>
      </c>
      <c r="T20" s="157" t="e">
        <f>+'Zał.1_WPF_bazowy'!#REF!</f>
        <v>#REF!</v>
      </c>
      <c r="U20" s="157" t="e">
        <f>+'Zał.1_WPF_bazowy'!#REF!</f>
        <v>#REF!</v>
      </c>
      <c r="V20" s="157" t="e">
        <f>+'Zał.1_WPF_bazowy'!#REF!</f>
        <v>#REF!</v>
      </c>
      <c r="W20" s="157" t="e">
        <f>+'Zał.1_WPF_bazowy'!#REF!</f>
        <v>#REF!</v>
      </c>
      <c r="X20" s="157" t="e">
        <f>+'Zał.1_WPF_bazowy'!#REF!</f>
        <v>#REF!</v>
      </c>
      <c r="Y20" s="157" t="e">
        <f>+'Zał.1_WPF_bazowy'!#REF!</f>
        <v>#REF!</v>
      </c>
      <c r="Z20" s="157" t="e">
        <f>+'Zał.1_WPF_bazowy'!#REF!</f>
        <v>#REF!</v>
      </c>
      <c r="AA20" s="157" t="e">
        <f>+'Zał.1_WPF_bazowy'!#REF!</f>
        <v>#REF!</v>
      </c>
      <c r="AB20" s="157" t="e">
        <f>+'Zał.1_WPF_bazowy'!#REF!</f>
        <v>#REF!</v>
      </c>
      <c r="AC20" s="157" t="e">
        <f>+'Zał.1_WPF_bazowy'!#REF!</f>
        <v>#REF!</v>
      </c>
      <c r="AD20" s="157" t="e">
        <f>+'Zał.1_WPF_bazowy'!#REF!</f>
        <v>#REF!</v>
      </c>
      <c r="AE20" s="157" t="e">
        <f>+'Zał.1_WPF_bazowy'!#REF!</f>
        <v>#REF!</v>
      </c>
      <c r="AF20" s="157" t="e">
        <f>+'Zał.1_WPF_bazowy'!#REF!</f>
        <v>#REF!</v>
      </c>
      <c r="AG20" s="157" t="e">
        <f>+'Zał.1_WPF_bazowy'!#REF!</f>
        <v>#REF!</v>
      </c>
      <c r="AH20" s="157" t="e">
        <f>+'Zał.1_WPF_bazowy'!#REF!</f>
        <v>#REF!</v>
      </c>
      <c r="AI20" s="157" t="e">
        <f>+'Zał.1_WPF_bazowy'!#REF!</f>
        <v>#REF!</v>
      </c>
      <c r="AJ20" s="157" t="e">
        <f>+'Zał.1_WPF_bazowy'!#REF!</f>
        <v>#REF!</v>
      </c>
      <c r="AK20" s="157" t="e">
        <f>+'Zał.1_WPF_bazowy'!#REF!</f>
        <v>#REF!</v>
      </c>
      <c r="AL20" s="158" t="e">
        <f>+'Zał.1_WPF_bazowy'!#REF!</f>
        <v>#REF!</v>
      </c>
    </row>
    <row r="21" spans="1:38" s="77" customFormat="1" ht="15" outlineLevel="1">
      <c r="A21" s="243" t="s">
        <v>28</v>
      </c>
      <c r="B21" s="29">
        <v>2</v>
      </c>
      <c r="C21" s="260" t="s">
        <v>307</v>
      </c>
      <c r="D21" s="197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40048350.71</v>
      </c>
      <c r="J21" s="52">
        <f aca="true" t="shared" si="2" ref="J21:AL21">+J22+J30</f>
        <v>39521456</v>
      </c>
      <c r="K21" s="52">
        <f t="shared" si="2"/>
        <v>35189726</v>
      </c>
      <c r="L21" s="52">
        <f t="shared" si="2"/>
        <v>35541686</v>
      </c>
      <c r="M21" s="52">
        <f t="shared" si="2"/>
        <v>35921762</v>
      </c>
      <c r="N21" s="52">
        <f t="shared" si="2"/>
        <v>35958762</v>
      </c>
      <c r="O21" s="52">
        <f t="shared" si="2"/>
        <v>35758762</v>
      </c>
      <c r="P21" s="52">
        <f t="shared" si="2"/>
        <v>35758762</v>
      </c>
      <c r="Q21" s="52">
        <f t="shared" si="2"/>
        <v>35902305</v>
      </c>
      <c r="R21" s="52">
        <f t="shared" si="2"/>
        <v>36458762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3" t="s">
        <v>28</v>
      </c>
      <c r="B22" s="30" t="s">
        <v>134</v>
      </c>
      <c r="C22" s="79"/>
      <c r="D22" s="198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5" t="e">
        <f>'Zał.1_WPF_bazowy'!#REF!</f>
        <v>#REF!</v>
      </c>
      <c r="I22" s="156">
        <f>+'Zał.1_WPF_bazowy'!E22</f>
        <v>33280704.52</v>
      </c>
      <c r="J22" s="157">
        <f>+'Zał.1_WPF_bazowy'!F22</f>
        <v>33521456</v>
      </c>
      <c r="K22" s="157">
        <f>+'Zał.1_WPF_bazowy'!G22</f>
        <v>34039726</v>
      </c>
      <c r="L22" s="157">
        <f>+'Zał.1_WPF_bazowy'!H22</f>
        <v>34441686</v>
      </c>
      <c r="M22" s="157">
        <f>+'Zał.1_WPF_bazowy'!I22</f>
        <v>34771762</v>
      </c>
      <c r="N22" s="157">
        <f>+'Zał.1_WPF_bazowy'!J22</f>
        <v>34858762</v>
      </c>
      <c r="O22" s="157">
        <f>+'Zał.1_WPF_bazowy'!K22</f>
        <v>34958762</v>
      </c>
      <c r="P22" s="157">
        <f>+'Zał.1_WPF_bazowy'!L22</f>
        <v>34958762</v>
      </c>
      <c r="Q22" s="157">
        <f>+'Zał.1_WPF_bazowy'!M22</f>
        <v>34958762</v>
      </c>
      <c r="R22" s="157">
        <f>+'Zał.1_WPF_bazowy'!N22</f>
        <v>35054838</v>
      </c>
      <c r="S22" s="157" t="e">
        <f>+'Zał.1_WPF_bazowy'!#REF!</f>
        <v>#REF!</v>
      </c>
      <c r="T22" s="157" t="e">
        <f>+'Zał.1_WPF_bazowy'!#REF!</f>
        <v>#REF!</v>
      </c>
      <c r="U22" s="157" t="e">
        <f>+'Zał.1_WPF_bazowy'!#REF!</f>
        <v>#REF!</v>
      </c>
      <c r="V22" s="157" t="e">
        <f>+'Zał.1_WPF_bazowy'!#REF!</f>
        <v>#REF!</v>
      </c>
      <c r="W22" s="157" t="e">
        <f>+'Zał.1_WPF_bazowy'!#REF!</f>
        <v>#REF!</v>
      </c>
      <c r="X22" s="157" t="e">
        <f>+'Zał.1_WPF_bazowy'!#REF!</f>
        <v>#REF!</v>
      </c>
      <c r="Y22" s="157" t="e">
        <f>+'Zał.1_WPF_bazowy'!#REF!</f>
        <v>#REF!</v>
      </c>
      <c r="Z22" s="157" t="e">
        <f>+'Zał.1_WPF_bazowy'!#REF!</f>
        <v>#REF!</v>
      </c>
      <c r="AA22" s="157" t="e">
        <f>+'Zał.1_WPF_bazowy'!#REF!</f>
        <v>#REF!</v>
      </c>
      <c r="AB22" s="157" t="e">
        <f>+'Zał.1_WPF_bazowy'!#REF!</f>
        <v>#REF!</v>
      </c>
      <c r="AC22" s="157" t="e">
        <f>+'Zał.1_WPF_bazowy'!#REF!</f>
        <v>#REF!</v>
      </c>
      <c r="AD22" s="157" t="e">
        <f>+'Zał.1_WPF_bazowy'!#REF!</f>
        <v>#REF!</v>
      </c>
      <c r="AE22" s="157" t="e">
        <f>+'Zał.1_WPF_bazowy'!#REF!</f>
        <v>#REF!</v>
      </c>
      <c r="AF22" s="157" t="e">
        <f>+'Zał.1_WPF_bazowy'!#REF!</f>
        <v>#REF!</v>
      </c>
      <c r="AG22" s="157" t="e">
        <f>+'Zał.1_WPF_bazowy'!#REF!</f>
        <v>#REF!</v>
      </c>
      <c r="AH22" s="157" t="e">
        <f>+'Zał.1_WPF_bazowy'!#REF!</f>
        <v>#REF!</v>
      </c>
      <c r="AI22" s="157" t="e">
        <f>+'Zał.1_WPF_bazowy'!#REF!</f>
        <v>#REF!</v>
      </c>
      <c r="AJ22" s="157" t="e">
        <f>+'Zał.1_WPF_bazowy'!#REF!</f>
        <v>#REF!</v>
      </c>
      <c r="AK22" s="157" t="e">
        <f>+'Zał.1_WPF_bazowy'!#REF!</f>
        <v>#REF!</v>
      </c>
      <c r="AL22" s="158" t="e">
        <f>+'Zał.1_WPF_bazowy'!#REF!</f>
        <v>#REF!</v>
      </c>
    </row>
    <row r="23" spans="1:38" ht="14.25" outlineLevel="2">
      <c r="A23" s="243" t="s">
        <v>28</v>
      </c>
      <c r="B23" s="30" t="s">
        <v>55</v>
      </c>
      <c r="C23" s="79"/>
      <c r="D23" s="199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5" t="e">
        <f>'Zał.1_WPF_bazowy'!#REF!</f>
        <v>#REF!</v>
      </c>
      <c r="I23" s="156">
        <f>+'Zał.1_WPF_bazowy'!E23</f>
        <v>28844</v>
      </c>
      <c r="J23" s="157">
        <f>+'Zał.1_WPF_bazowy'!F23</f>
        <v>0</v>
      </c>
      <c r="K23" s="157">
        <f>+'Zał.1_WPF_bazowy'!G23</f>
        <v>0</v>
      </c>
      <c r="L23" s="157">
        <f>+'Zał.1_WPF_bazowy'!H23</f>
        <v>0</v>
      </c>
      <c r="M23" s="157">
        <f>+'Zał.1_WPF_bazowy'!I23</f>
        <v>0</v>
      </c>
      <c r="N23" s="157">
        <f>+'Zał.1_WPF_bazowy'!J23</f>
        <v>0</v>
      </c>
      <c r="O23" s="157">
        <f>+'Zał.1_WPF_bazowy'!K23</f>
        <v>0</v>
      </c>
      <c r="P23" s="157">
        <f>+'Zał.1_WPF_bazowy'!L23</f>
        <v>0</v>
      </c>
      <c r="Q23" s="157">
        <f>+'Zał.1_WPF_bazowy'!M23</f>
        <v>0</v>
      </c>
      <c r="R23" s="157">
        <f>+'Zał.1_WPF_bazowy'!N23</f>
        <v>0</v>
      </c>
      <c r="S23" s="157" t="e">
        <f>+'Zał.1_WPF_bazowy'!#REF!</f>
        <v>#REF!</v>
      </c>
      <c r="T23" s="157" t="e">
        <f>+'Zał.1_WPF_bazowy'!#REF!</f>
        <v>#REF!</v>
      </c>
      <c r="U23" s="157" t="e">
        <f>+'Zał.1_WPF_bazowy'!#REF!</f>
        <v>#REF!</v>
      </c>
      <c r="V23" s="157" t="e">
        <f>+'Zał.1_WPF_bazowy'!#REF!</f>
        <v>#REF!</v>
      </c>
      <c r="W23" s="157" t="e">
        <f>+'Zał.1_WPF_bazowy'!#REF!</f>
        <v>#REF!</v>
      </c>
      <c r="X23" s="157" t="e">
        <f>+'Zał.1_WPF_bazowy'!#REF!</f>
        <v>#REF!</v>
      </c>
      <c r="Y23" s="157" t="e">
        <f>+'Zał.1_WPF_bazowy'!#REF!</f>
        <v>#REF!</v>
      </c>
      <c r="Z23" s="157" t="e">
        <f>+'Zał.1_WPF_bazowy'!#REF!</f>
        <v>#REF!</v>
      </c>
      <c r="AA23" s="157" t="e">
        <f>+'Zał.1_WPF_bazowy'!#REF!</f>
        <v>#REF!</v>
      </c>
      <c r="AB23" s="157" t="e">
        <f>+'Zał.1_WPF_bazowy'!#REF!</f>
        <v>#REF!</v>
      </c>
      <c r="AC23" s="157" t="e">
        <f>+'Zał.1_WPF_bazowy'!#REF!</f>
        <v>#REF!</v>
      </c>
      <c r="AD23" s="157" t="e">
        <f>+'Zał.1_WPF_bazowy'!#REF!</f>
        <v>#REF!</v>
      </c>
      <c r="AE23" s="157" t="e">
        <f>+'Zał.1_WPF_bazowy'!#REF!</f>
        <v>#REF!</v>
      </c>
      <c r="AF23" s="157" t="e">
        <f>+'Zał.1_WPF_bazowy'!#REF!</f>
        <v>#REF!</v>
      </c>
      <c r="AG23" s="157" t="e">
        <f>+'Zał.1_WPF_bazowy'!#REF!</f>
        <v>#REF!</v>
      </c>
      <c r="AH23" s="157" t="e">
        <f>+'Zał.1_WPF_bazowy'!#REF!</f>
        <v>#REF!</v>
      </c>
      <c r="AI23" s="157" t="e">
        <f>+'Zał.1_WPF_bazowy'!#REF!</f>
        <v>#REF!</v>
      </c>
      <c r="AJ23" s="157" t="e">
        <f>+'Zał.1_WPF_bazowy'!#REF!</f>
        <v>#REF!</v>
      </c>
      <c r="AK23" s="157" t="e">
        <f>+'Zał.1_WPF_bazowy'!#REF!</f>
        <v>#REF!</v>
      </c>
      <c r="AL23" s="158" t="e">
        <f>+'Zał.1_WPF_bazowy'!#REF!</f>
        <v>#REF!</v>
      </c>
    </row>
    <row r="24" spans="1:38" ht="24" outlineLevel="2">
      <c r="A24" s="243" t="s">
        <v>28</v>
      </c>
      <c r="B24" s="30" t="s">
        <v>57</v>
      </c>
      <c r="C24" s="79"/>
      <c r="D24" s="200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5" t="e">
        <f>'Zał.1_WPF_bazowy'!#REF!</f>
        <v>#REF!</v>
      </c>
      <c r="I24" s="156">
        <f>+'Zał.1_WPF_bazowy'!E24</f>
        <v>0</v>
      </c>
      <c r="J24" s="157">
        <f>+'Zał.1_WPF_bazowy'!F24</f>
        <v>0</v>
      </c>
      <c r="K24" s="157">
        <f>+'Zał.1_WPF_bazowy'!G24</f>
        <v>0</v>
      </c>
      <c r="L24" s="157">
        <f>+'Zał.1_WPF_bazowy'!H24</f>
        <v>0</v>
      </c>
      <c r="M24" s="157">
        <f>+'Zał.1_WPF_bazowy'!I24</f>
        <v>0</v>
      </c>
      <c r="N24" s="157">
        <f>+'Zał.1_WPF_bazowy'!J24</f>
        <v>0</v>
      </c>
      <c r="O24" s="157">
        <f>+'Zał.1_WPF_bazowy'!K24</f>
        <v>0</v>
      </c>
      <c r="P24" s="157">
        <f>+'Zał.1_WPF_bazowy'!L24</f>
        <v>0</v>
      </c>
      <c r="Q24" s="157">
        <f>+'Zał.1_WPF_bazowy'!M24</f>
        <v>0</v>
      </c>
      <c r="R24" s="157">
        <f>+'Zał.1_WPF_bazowy'!N24</f>
        <v>0</v>
      </c>
      <c r="S24" s="157" t="e">
        <f>+'Zał.1_WPF_bazowy'!#REF!</f>
        <v>#REF!</v>
      </c>
      <c r="T24" s="157" t="e">
        <f>+'Zał.1_WPF_bazowy'!#REF!</f>
        <v>#REF!</v>
      </c>
      <c r="U24" s="157" t="e">
        <f>+'Zał.1_WPF_bazowy'!#REF!</f>
        <v>#REF!</v>
      </c>
      <c r="V24" s="157" t="e">
        <f>+'Zał.1_WPF_bazowy'!#REF!</f>
        <v>#REF!</v>
      </c>
      <c r="W24" s="157" t="e">
        <f>+'Zał.1_WPF_bazowy'!#REF!</f>
        <v>#REF!</v>
      </c>
      <c r="X24" s="157" t="e">
        <f>+'Zał.1_WPF_bazowy'!#REF!</f>
        <v>#REF!</v>
      </c>
      <c r="Y24" s="157" t="e">
        <f>+'Zał.1_WPF_bazowy'!#REF!</f>
        <v>#REF!</v>
      </c>
      <c r="Z24" s="157" t="e">
        <f>+'Zał.1_WPF_bazowy'!#REF!</f>
        <v>#REF!</v>
      </c>
      <c r="AA24" s="157" t="e">
        <f>+'Zał.1_WPF_bazowy'!#REF!</f>
        <v>#REF!</v>
      </c>
      <c r="AB24" s="157" t="e">
        <f>+'Zał.1_WPF_bazowy'!#REF!</f>
        <v>#REF!</v>
      </c>
      <c r="AC24" s="157" t="e">
        <f>+'Zał.1_WPF_bazowy'!#REF!</f>
        <v>#REF!</v>
      </c>
      <c r="AD24" s="157" t="e">
        <f>+'Zał.1_WPF_bazowy'!#REF!</f>
        <v>#REF!</v>
      </c>
      <c r="AE24" s="157" t="e">
        <f>+'Zał.1_WPF_bazowy'!#REF!</f>
        <v>#REF!</v>
      </c>
      <c r="AF24" s="157" t="e">
        <f>+'Zał.1_WPF_bazowy'!#REF!</f>
        <v>#REF!</v>
      </c>
      <c r="AG24" s="157" t="e">
        <f>+'Zał.1_WPF_bazowy'!#REF!</f>
        <v>#REF!</v>
      </c>
      <c r="AH24" s="157" t="e">
        <f>+'Zał.1_WPF_bazowy'!#REF!</f>
        <v>#REF!</v>
      </c>
      <c r="AI24" s="157" t="e">
        <f>+'Zał.1_WPF_bazowy'!#REF!</f>
        <v>#REF!</v>
      </c>
      <c r="AJ24" s="157" t="e">
        <f>+'Zał.1_WPF_bazowy'!#REF!</f>
        <v>#REF!</v>
      </c>
      <c r="AK24" s="157" t="e">
        <f>+'Zał.1_WPF_bazowy'!#REF!</f>
        <v>#REF!</v>
      </c>
      <c r="AL24" s="158" t="e">
        <f>+'Zał.1_WPF_bazowy'!#REF!</f>
        <v>#REF!</v>
      </c>
    </row>
    <row r="25" spans="1:38" ht="36" outlineLevel="2">
      <c r="A25" s="243"/>
      <c r="B25" s="30" t="s">
        <v>58</v>
      </c>
      <c r="C25" s="79"/>
      <c r="D25" s="199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5" t="e">
        <f>+'Zał.1_WPF_bazowy'!#REF!</f>
        <v>#REF!</v>
      </c>
      <c r="I25" s="156">
        <f>+'Zał.1_WPF_bazowy'!E25</f>
        <v>0</v>
      </c>
      <c r="J25" s="157">
        <f>+'Zał.1_WPF_bazowy'!F25</f>
        <v>0</v>
      </c>
      <c r="K25" s="157">
        <f>+'Zał.1_WPF_bazowy'!G25</f>
        <v>0</v>
      </c>
      <c r="L25" s="157">
        <f>+'Zał.1_WPF_bazowy'!H25</f>
        <v>0</v>
      </c>
      <c r="M25" s="157">
        <f>+'Zał.1_WPF_bazowy'!I25</f>
        <v>0</v>
      </c>
      <c r="N25" s="157">
        <f>+'Zał.1_WPF_bazowy'!J25</f>
        <v>0</v>
      </c>
      <c r="O25" s="157">
        <f>+'Zał.1_WPF_bazowy'!K25</f>
        <v>0</v>
      </c>
      <c r="P25" s="157">
        <f>+'Zał.1_WPF_bazowy'!L25</f>
        <v>0</v>
      </c>
      <c r="Q25" s="157">
        <f>+'Zał.1_WPF_bazowy'!M25</f>
        <v>0</v>
      </c>
      <c r="R25" s="157">
        <f>+'Zał.1_WPF_bazowy'!N25</f>
        <v>0</v>
      </c>
      <c r="S25" s="157" t="e">
        <f>+'Zał.1_WPF_bazowy'!#REF!</f>
        <v>#REF!</v>
      </c>
      <c r="T25" s="157" t="e">
        <f>+'Zał.1_WPF_bazowy'!#REF!</f>
        <v>#REF!</v>
      </c>
      <c r="U25" s="157" t="e">
        <f>+'Zał.1_WPF_bazowy'!#REF!</f>
        <v>#REF!</v>
      </c>
      <c r="V25" s="157" t="e">
        <f>+'Zał.1_WPF_bazowy'!#REF!</f>
        <v>#REF!</v>
      </c>
      <c r="W25" s="157" t="e">
        <f>+'Zał.1_WPF_bazowy'!#REF!</f>
        <v>#REF!</v>
      </c>
      <c r="X25" s="157" t="e">
        <f>+'Zał.1_WPF_bazowy'!#REF!</f>
        <v>#REF!</v>
      </c>
      <c r="Y25" s="157" t="e">
        <f>+'Zał.1_WPF_bazowy'!#REF!</f>
        <v>#REF!</v>
      </c>
      <c r="Z25" s="157" t="e">
        <f>+'Zał.1_WPF_bazowy'!#REF!</f>
        <v>#REF!</v>
      </c>
      <c r="AA25" s="157" t="e">
        <f>+'Zał.1_WPF_bazowy'!#REF!</f>
        <v>#REF!</v>
      </c>
      <c r="AB25" s="157" t="e">
        <f>+'Zał.1_WPF_bazowy'!#REF!</f>
        <v>#REF!</v>
      </c>
      <c r="AC25" s="157" t="e">
        <f>+'Zał.1_WPF_bazowy'!#REF!</f>
        <v>#REF!</v>
      </c>
      <c r="AD25" s="157" t="e">
        <f>+'Zał.1_WPF_bazowy'!#REF!</f>
        <v>#REF!</v>
      </c>
      <c r="AE25" s="157" t="e">
        <f>+'Zał.1_WPF_bazowy'!#REF!</f>
        <v>#REF!</v>
      </c>
      <c r="AF25" s="157" t="e">
        <f>+'Zał.1_WPF_bazowy'!#REF!</f>
        <v>#REF!</v>
      </c>
      <c r="AG25" s="157" t="e">
        <f>+'Zał.1_WPF_bazowy'!#REF!</f>
        <v>#REF!</v>
      </c>
      <c r="AH25" s="157" t="e">
        <f>+'Zał.1_WPF_bazowy'!#REF!</f>
        <v>#REF!</v>
      </c>
      <c r="AI25" s="157" t="e">
        <f>+'Zał.1_WPF_bazowy'!#REF!</f>
        <v>#REF!</v>
      </c>
      <c r="AJ25" s="157" t="e">
        <f>+'Zał.1_WPF_bazowy'!#REF!</f>
        <v>#REF!</v>
      </c>
      <c r="AK25" s="157" t="e">
        <f>+'Zał.1_WPF_bazowy'!#REF!</f>
        <v>#REF!</v>
      </c>
      <c r="AL25" s="158" t="e">
        <f>+'Zał.1_WPF_bazowy'!#REF!</f>
        <v>#REF!</v>
      </c>
    </row>
    <row r="26" spans="1:38" ht="14.25" outlineLevel="2">
      <c r="A26" s="243" t="s">
        <v>28</v>
      </c>
      <c r="B26" s="30" t="s">
        <v>59</v>
      </c>
      <c r="C26" s="79"/>
      <c r="D26" s="199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5" t="e">
        <f>'Zał.1_WPF_bazowy'!#REF!</f>
        <v>#REF!</v>
      </c>
      <c r="I26" s="156">
        <f>+'Zał.1_WPF_bazowy'!E26</f>
        <v>145000</v>
      </c>
      <c r="J26" s="157">
        <f>+'Zał.1_WPF_bazowy'!F26</f>
        <v>450000</v>
      </c>
      <c r="K26" s="157">
        <f>+'Zał.1_WPF_bazowy'!G26</f>
        <v>442000</v>
      </c>
      <c r="L26" s="157">
        <f>+'Zał.1_WPF_bazowy'!H26</f>
        <v>395000</v>
      </c>
      <c r="M26" s="157">
        <f>+'Zał.1_WPF_bazowy'!I26</f>
        <v>316000</v>
      </c>
      <c r="N26" s="157">
        <f>+'Zał.1_WPF_bazowy'!J26</f>
        <v>258000</v>
      </c>
      <c r="O26" s="157">
        <f>+'Zał.1_WPF_bazowy'!K26</f>
        <v>168000</v>
      </c>
      <c r="P26" s="157">
        <f>+'Zał.1_WPF_bazowy'!L26</f>
        <v>121000</v>
      </c>
      <c r="Q26" s="157">
        <f>+'Zał.1_WPF_bazowy'!M26</f>
        <v>58000</v>
      </c>
      <c r="R26" s="157">
        <f>+'Zał.1_WPF_bazowy'!N26</f>
        <v>0</v>
      </c>
      <c r="S26" s="157" t="e">
        <f>+'Zał.1_WPF_bazowy'!#REF!</f>
        <v>#REF!</v>
      </c>
      <c r="T26" s="157" t="e">
        <f>+'Zał.1_WPF_bazowy'!#REF!</f>
        <v>#REF!</v>
      </c>
      <c r="U26" s="157" t="e">
        <f>+'Zał.1_WPF_bazowy'!#REF!</f>
        <v>#REF!</v>
      </c>
      <c r="V26" s="157" t="e">
        <f>+'Zał.1_WPF_bazowy'!#REF!</f>
        <v>#REF!</v>
      </c>
      <c r="W26" s="157" t="e">
        <f>+'Zał.1_WPF_bazowy'!#REF!</f>
        <v>#REF!</v>
      </c>
      <c r="X26" s="157" t="e">
        <f>+'Zał.1_WPF_bazowy'!#REF!</f>
        <v>#REF!</v>
      </c>
      <c r="Y26" s="157" t="e">
        <f>+'Zał.1_WPF_bazowy'!#REF!</f>
        <v>#REF!</v>
      </c>
      <c r="Z26" s="157" t="e">
        <f>+'Zał.1_WPF_bazowy'!#REF!</f>
        <v>#REF!</v>
      </c>
      <c r="AA26" s="157" t="e">
        <f>+'Zał.1_WPF_bazowy'!#REF!</f>
        <v>#REF!</v>
      </c>
      <c r="AB26" s="157" t="e">
        <f>+'Zał.1_WPF_bazowy'!#REF!</f>
        <v>#REF!</v>
      </c>
      <c r="AC26" s="157" t="e">
        <f>+'Zał.1_WPF_bazowy'!#REF!</f>
        <v>#REF!</v>
      </c>
      <c r="AD26" s="157" t="e">
        <f>+'Zał.1_WPF_bazowy'!#REF!</f>
        <v>#REF!</v>
      </c>
      <c r="AE26" s="157" t="e">
        <f>+'Zał.1_WPF_bazowy'!#REF!</f>
        <v>#REF!</v>
      </c>
      <c r="AF26" s="157" t="e">
        <f>+'Zał.1_WPF_bazowy'!#REF!</f>
        <v>#REF!</v>
      </c>
      <c r="AG26" s="157" t="e">
        <f>+'Zał.1_WPF_bazowy'!#REF!</f>
        <v>#REF!</v>
      </c>
      <c r="AH26" s="157" t="e">
        <f>+'Zał.1_WPF_bazowy'!#REF!</f>
        <v>#REF!</v>
      </c>
      <c r="AI26" s="157" t="e">
        <f>+'Zał.1_WPF_bazowy'!#REF!</f>
        <v>#REF!</v>
      </c>
      <c r="AJ26" s="157" t="e">
        <f>+'Zał.1_WPF_bazowy'!#REF!</f>
        <v>#REF!</v>
      </c>
      <c r="AK26" s="157" t="e">
        <f>+'Zał.1_WPF_bazowy'!#REF!</f>
        <v>#REF!</v>
      </c>
      <c r="AL26" s="158" t="e">
        <f>+'Zał.1_WPF_bazowy'!#REF!</f>
        <v>#REF!</v>
      </c>
    </row>
    <row r="27" spans="1:253" s="81" customFormat="1" ht="14.25" outlineLevel="2">
      <c r="A27" s="243" t="s">
        <v>28</v>
      </c>
      <c r="B27" s="30" t="s">
        <v>60</v>
      </c>
      <c r="C27" s="79"/>
      <c r="D27" s="200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5" t="e">
        <f>'Zał.1_WPF_bazowy'!#REF!</f>
        <v>#REF!</v>
      </c>
      <c r="I27" s="156">
        <f>+'Zał.1_WPF_bazowy'!E27</f>
        <v>145000</v>
      </c>
      <c r="J27" s="157">
        <f>+'Zał.1_WPF_bazowy'!F27</f>
        <v>450000</v>
      </c>
      <c r="K27" s="157">
        <f>+'Zał.1_WPF_bazowy'!G27</f>
        <v>442000</v>
      </c>
      <c r="L27" s="157">
        <f>+'Zał.1_WPF_bazowy'!H27</f>
        <v>395000</v>
      </c>
      <c r="M27" s="157">
        <f>+'Zał.1_WPF_bazowy'!I27</f>
        <v>316000</v>
      </c>
      <c r="N27" s="157">
        <f>+'Zał.1_WPF_bazowy'!J27</f>
        <v>258000</v>
      </c>
      <c r="O27" s="157">
        <f>+'Zał.1_WPF_bazowy'!K27</f>
        <v>168000</v>
      </c>
      <c r="P27" s="157">
        <f>+'Zał.1_WPF_bazowy'!L27</f>
        <v>121000</v>
      </c>
      <c r="Q27" s="157">
        <f>+'Zał.1_WPF_bazowy'!M27</f>
        <v>58000</v>
      </c>
      <c r="R27" s="157">
        <f>+'Zał.1_WPF_bazowy'!N27</f>
        <v>0</v>
      </c>
      <c r="S27" s="157" t="e">
        <f>+'Zał.1_WPF_bazowy'!#REF!</f>
        <v>#REF!</v>
      </c>
      <c r="T27" s="157" t="e">
        <f>+'Zał.1_WPF_bazowy'!#REF!</f>
        <v>#REF!</v>
      </c>
      <c r="U27" s="157" t="e">
        <f>+'Zał.1_WPF_bazowy'!#REF!</f>
        <v>#REF!</v>
      </c>
      <c r="V27" s="157" t="e">
        <f>+'Zał.1_WPF_bazowy'!#REF!</f>
        <v>#REF!</v>
      </c>
      <c r="W27" s="157" t="e">
        <f>+'Zał.1_WPF_bazowy'!#REF!</f>
        <v>#REF!</v>
      </c>
      <c r="X27" s="157" t="e">
        <f>+'Zał.1_WPF_bazowy'!#REF!</f>
        <v>#REF!</v>
      </c>
      <c r="Y27" s="157" t="e">
        <f>+'Zał.1_WPF_bazowy'!#REF!</f>
        <v>#REF!</v>
      </c>
      <c r="Z27" s="157" t="e">
        <f>+'Zał.1_WPF_bazowy'!#REF!</f>
        <v>#REF!</v>
      </c>
      <c r="AA27" s="157" t="e">
        <f>+'Zał.1_WPF_bazowy'!#REF!</f>
        <v>#REF!</v>
      </c>
      <c r="AB27" s="157" t="e">
        <f>+'Zał.1_WPF_bazowy'!#REF!</f>
        <v>#REF!</v>
      </c>
      <c r="AC27" s="157" t="e">
        <f>+'Zał.1_WPF_bazowy'!#REF!</f>
        <v>#REF!</v>
      </c>
      <c r="AD27" s="157" t="e">
        <f>+'Zał.1_WPF_bazowy'!#REF!</f>
        <v>#REF!</v>
      </c>
      <c r="AE27" s="157" t="e">
        <f>+'Zał.1_WPF_bazowy'!#REF!</f>
        <v>#REF!</v>
      </c>
      <c r="AF27" s="157" t="e">
        <f>+'Zał.1_WPF_bazowy'!#REF!</f>
        <v>#REF!</v>
      </c>
      <c r="AG27" s="157" t="e">
        <f>+'Zał.1_WPF_bazowy'!#REF!</f>
        <v>#REF!</v>
      </c>
      <c r="AH27" s="157" t="e">
        <f>+'Zał.1_WPF_bazowy'!#REF!</f>
        <v>#REF!</v>
      </c>
      <c r="AI27" s="157" t="e">
        <f>+'Zał.1_WPF_bazowy'!#REF!</f>
        <v>#REF!</v>
      </c>
      <c r="AJ27" s="157" t="e">
        <f>+'Zał.1_WPF_bazowy'!#REF!</f>
        <v>#REF!</v>
      </c>
      <c r="AK27" s="157" t="e">
        <f>+'Zał.1_WPF_bazowy'!#REF!</f>
        <v>#REF!</v>
      </c>
      <c r="AL27" s="158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3" t="s">
        <v>28</v>
      </c>
      <c r="B28" s="30" t="s">
        <v>342</v>
      </c>
      <c r="C28" s="79"/>
      <c r="D28" s="265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5" t="e">
        <f>'Zał.1_WPF_bazowy'!#REF!</f>
        <v>#REF!</v>
      </c>
      <c r="I28" s="156">
        <f>+'Zał.1_WPF_bazowy'!E28</f>
        <v>0</v>
      </c>
      <c r="J28" s="157">
        <f>+'Zał.1_WPF_bazowy'!F28</f>
        <v>0</v>
      </c>
      <c r="K28" s="157">
        <f>+'Zał.1_WPF_bazowy'!G28</f>
        <v>0</v>
      </c>
      <c r="L28" s="157">
        <f>+'Zał.1_WPF_bazowy'!H28</f>
        <v>0</v>
      </c>
      <c r="M28" s="157">
        <f>+'Zał.1_WPF_bazowy'!I28</f>
        <v>0</v>
      </c>
      <c r="N28" s="157">
        <f>+'Zał.1_WPF_bazowy'!J28</f>
        <v>0</v>
      </c>
      <c r="O28" s="157">
        <f>+'Zał.1_WPF_bazowy'!K28</f>
        <v>0</v>
      </c>
      <c r="P28" s="157">
        <f>+'Zał.1_WPF_bazowy'!L28</f>
        <v>0</v>
      </c>
      <c r="Q28" s="157">
        <f>+'Zał.1_WPF_bazowy'!M28</f>
        <v>0</v>
      </c>
      <c r="R28" s="157">
        <f>+'Zał.1_WPF_bazowy'!N28</f>
        <v>0</v>
      </c>
      <c r="S28" s="157" t="e">
        <f>+'Zał.1_WPF_bazowy'!#REF!</f>
        <v>#REF!</v>
      </c>
      <c r="T28" s="157" t="e">
        <f>+'Zał.1_WPF_bazowy'!#REF!</f>
        <v>#REF!</v>
      </c>
      <c r="U28" s="157" t="e">
        <f>+'Zał.1_WPF_bazowy'!#REF!</f>
        <v>#REF!</v>
      </c>
      <c r="V28" s="157" t="e">
        <f>+'Zał.1_WPF_bazowy'!#REF!</f>
        <v>#REF!</v>
      </c>
      <c r="W28" s="157" t="e">
        <f>+'Zał.1_WPF_bazowy'!#REF!</f>
        <v>#REF!</v>
      </c>
      <c r="X28" s="157" t="e">
        <f>+'Zał.1_WPF_bazowy'!#REF!</f>
        <v>#REF!</v>
      </c>
      <c r="Y28" s="157" t="e">
        <f>+'Zał.1_WPF_bazowy'!#REF!</f>
        <v>#REF!</v>
      </c>
      <c r="Z28" s="157" t="e">
        <f>+'Zał.1_WPF_bazowy'!#REF!</f>
        <v>#REF!</v>
      </c>
      <c r="AA28" s="157" t="e">
        <f>+'Zał.1_WPF_bazowy'!#REF!</f>
        <v>#REF!</v>
      </c>
      <c r="AB28" s="157" t="e">
        <f>+'Zał.1_WPF_bazowy'!#REF!</f>
        <v>#REF!</v>
      </c>
      <c r="AC28" s="157" t="e">
        <f>+'Zał.1_WPF_bazowy'!#REF!</f>
        <v>#REF!</v>
      </c>
      <c r="AD28" s="157" t="e">
        <f>+'Zał.1_WPF_bazowy'!#REF!</f>
        <v>#REF!</v>
      </c>
      <c r="AE28" s="157" t="e">
        <f>+'Zał.1_WPF_bazowy'!#REF!</f>
        <v>#REF!</v>
      </c>
      <c r="AF28" s="157" t="e">
        <f>+'Zał.1_WPF_bazowy'!#REF!</f>
        <v>#REF!</v>
      </c>
      <c r="AG28" s="157" t="e">
        <f>+'Zał.1_WPF_bazowy'!#REF!</f>
        <v>#REF!</v>
      </c>
      <c r="AH28" s="157" t="e">
        <f>+'Zał.1_WPF_bazowy'!#REF!</f>
        <v>#REF!</v>
      </c>
      <c r="AI28" s="157" t="e">
        <f>+'Zał.1_WPF_bazowy'!#REF!</f>
        <v>#REF!</v>
      </c>
      <c r="AJ28" s="157" t="e">
        <f>+'Zał.1_WPF_bazowy'!#REF!</f>
        <v>#REF!</v>
      </c>
      <c r="AK28" s="157" t="e">
        <f>+'Zał.1_WPF_bazowy'!#REF!</f>
        <v>#REF!</v>
      </c>
      <c r="AL28" s="158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3" t="s">
        <v>28</v>
      </c>
      <c r="B29" s="30" t="s">
        <v>344</v>
      </c>
      <c r="C29" s="79"/>
      <c r="D29" s="265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5" t="e">
        <f>'Zał.1_WPF_bazowy'!#REF!</f>
        <v>#REF!</v>
      </c>
      <c r="I29" s="156">
        <f>+'Zał.1_WPF_bazowy'!E29</f>
        <v>0</v>
      </c>
      <c r="J29" s="157">
        <f>+'Zał.1_WPF_bazowy'!F29</f>
        <v>0</v>
      </c>
      <c r="K29" s="157">
        <f>+'Zał.1_WPF_bazowy'!G29</f>
        <v>0</v>
      </c>
      <c r="L29" s="157">
        <f>+'Zał.1_WPF_bazowy'!H29</f>
        <v>0</v>
      </c>
      <c r="M29" s="157">
        <f>+'Zał.1_WPF_bazowy'!I29</f>
        <v>0</v>
      </c>
      <c r="N29" s="157">
        <f>+'Zał.1_WPF_bazowy'!J29</f>
        <v>0</v>
      </c>
      <c r="O29" s="157">
        <f>+'Zał.1_WPF_bazowy'!K29</f>
        <v>0</v>
      </c>
      <c r="P29" s="157">
        <f>+'Zał.1_WPF_bazowy'!L29</f>
        <v>0</v>
      </c>
      <c r="Q29" s="157">
        <f>+'Zał.1_WPF_bazowy'!M29</f>
        <v>0</v>
      </c>
      <c r="R29" s="157">
        <f>+'Zał.1_WPF_bazowy'!N29</f>
        <v>0</v>
      </c>
      <c r="S29" s="157" t="e">
        <f>+'Zał.1_WPF_bazowy'!#REF!</f>
        <v>#REF!</v>
      </c>
      <c r="T29" s="157" t="e">
        <f>+'Zał.1_WPF_bazowy'!#REF!</f>
        <v>#REF!</v>
      </c>
      <c r="U29" s="157" t="e">
        <f>+'Zał.1_WPF_bazowy'!#REF!</f>
        <v>#REF!</v>
      </c>
      <c r="V29" s="157" t="e">
        <f>+'Zał.1_WPF_bazowy'!#REF!</f>
        <v>#REF!</v>
      </c>
      <c r="W29" s="157" t="e">
        <f>+'Zał.1_WPF_bazowy'!#REF!</f>
        <v>#REF!</v>
      </c>
      <c r="X29" s="157" t="e">
        <f>+'Zał.1_WPF_bazowy'!#REF!</f>
        <v>#REF!</v>
      </c>
      <c r="Y29" s="157" t="e">
        <f>+'Zał.1_WPF_bazowy'!#REF!</f>
        <v>#REF!</v>
      </c>
      <c r="Z29" s="157" t="e">
        <f>+'Zał.1_WPF_bazowy'!#REF!</f>
        <v>#REF!</v>
      </c>
      <c r="AA29" s="157" t="e">
        <f>+'Zał.1_WPF_bazowy'!#REF!</f>
        <v>#REF!</v>
      </c>
      <c r="AB29" s="157" t="e">
        <f>+'Zał.1_WPF_bazowy'!#REF!</f>
        <v>#REF!</v>
      </c>
      <c r="AC29" s="157" t="e">
        <f>+'Zał.1_WPF_bazowy'!#REF!</f>
        <v>#REF!</v>
      </c>
      <c r="AD29" s="157" t="e">
        <f>+'Zał.1_WPF_bazowy'!#REF!</f>
        <v>#REF!</v>
      </c>
      <c r="AE29" s="157" t="e">
        <f>+'Zał.1_WPF_bazowy'!#REF!</f>
        <v>#REF!</v>
      </c>
      <c r="AF29" s="157" t="e">
        <f>+'Zał.1_WPF_bazowy'!#REF!</f>
        <v>#REF!</v>
      </c>
      <c r="AG29" s="157" t="e">
        <f>+'Zał.1_WPF_bazowy'!#REF!</f>
        <v>#REF!</v>
      </c>
      <c r="AH29" s="157" t="e">
        <f>+'Zał.1_WPF_bazowy'!#REF!</f>
        <v>#REF!</v>
      </c>
      <c r="AI29" s="157" t="e">
        <f>+'Zał.1_WPF_bazowy'!#REF!</f>
        <v>#REF!</v>
      </c>
      <c r="AJ29" s="157" t="e">
        <f>+'Zał.1_WPF_bazowy'!#REF!</f>
        <v>#REF!</v>
      </c>
      <c r="AK29" s="157" t="e">
        <f>+'Zał.1_WPF_bazowy'!#REF!</f>
        <v>#REF!</v>
      </c>
      <c r="AL29" s="158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3" t="s">
        <v>28</v>
      </c>
      <c r="B30" s="30" t="s">
        <v>135</v>
      </c>
      <c r="C30" s="79"/>
      <c r="D30" s="198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5" t="e">
        <f>'Zał.1_WPF_bazowy'!#REF!</f>
        <v>#REF!</v>
      </c>
      <c r="I30" s="156">
        <f>+'Zał.1_WPF_bazowy'!E30</f>
        <v>6767646.19</v>
      </c>
      <c r="J30" s="157">
        <f>+'Zał.1_WPF_bazowy'!F30</f>
        <v>6000000</v>
      </c>
      <c r="K30" s="157">
        <f>+'Zał.1_WPF_bazowy'!G30</f>
        <v>1150000</v>
      </c>
      <c r="L30" s="157">
        <f>+'Zał.1_WPF_bazowy'!H30</f>
        <v>1100000</v>
      </c>
      <c r="M30" s="157">
        <f>+'Zał.1_WPF_bazowy'!I30</f>
        <v>1150000</v>
      </c>
      <c r="N30" s="157">
        <f>+'Zał.1_WPF_bazowy'!J30</f>
        <v>1100000</v>
      </c>
      <c r="O30" s="157">
        <f>+'Zał.1_WPF_bazowy'!K30</f>
        <v>800000</v>
      </c>
      <c r="P30" s="157">
        <f>+'Zał.1_WPF_bazowy'!L30</f>
        <v>800000</v>
      </c>
      <c r="Q30" s="157">
        <f>+'Zał.1_WPF_bazowy'!M30</f>
        <v>943543</v>
      </c>
      <c r="R30" s="157">
        <f>+'Zał.1_WPF_bazowy'!N30</f>
        <v>1403924</v>
      </c>
      <c r="S30" s="157" t="e">
        <f>+'Zał.1_WPF_bazowy'!#REF!</f>
        <v>#REF!</v>
      </c>
      <c r="T30" s="157" t="e">
        <f>+'Zał.1_WPF_bazowy'!#REF!</f>
        <v>#REF!</v>
      </c>
      <c r="U30" s="157" t="e">
        <f>+'Zał.1_WPF_bazowy'!#REF!</f>
        <v>#REF!</v>
      </c>
      <c r="V30" s="157" t="e">
        <f>+'Zał.1_WPF_bazowy'!#REF!</f>
        <v>#REF!</v>
      </c>
      <c r="W30" s="157" t="e">
        <f>+'Zał.1_WPF_bazowy'!#REF!</f>
        <v>#REF!</v>
      </c>
      <c r="X30" s="157" t="e">
        <f>+'Zał.1_WPF_bazowy'!#REF!</f>
        <v>#REF!</v>
      </c>
      <c r="Y30" s="157" t="e">
        <f>+'Zał.1_WPF_bazowy'!#REF!</f>
        <v>#REF!</v>
      </c>
      <c r="Z30" s="157" t="e">
        <f>+'Zał.1_WPF_bazowy'!#REF!</f>
        <v>#REF!</v>
      </c>
      <c r="AA30" s="157" t="e">
        <f>+'Zał.1_WPF_bazowy'!#REF!</f>
        <v>#REF!</v>
      </c>
      <c r="AB30" s="157" t="e">
        <f>+'Zał.1_WPF_bazowy'!#REF!</f>
        <v>#REF!</v>
      </c>
      <c r="AC30" s="157" t="e">
        <f>+'Zał.1_WPF_bazowy'!#REF!</f>
        <v>#REF!</v>
      </c>
      <c r="AD30" s="157" t="e">
        <f>+'Zał.1_WPF_bazowy'!#REF!</f>
        <v>#REF!</v>
      </c>
      <c r="AE30" s="157" t="e">
        <f>+'Zał.1_WPF_bazowy'!#REF!</f>
        <v>#REF!</v>
      </c>
      <c r="AF30" s="157" t="e">
        <f>+'Zał.1_WPF_bazowy'!#REF!</f>
        <v>#REF!</v>
      </c>
      <c r="AG30" s="157" t="e">
        <f>+'Zał.1_WPF_bazowy'!#REF!</f>
        <v>#REF!</v>
      </c>
      <c r="AH30" s="157" t="e">
        <f>+'Zał.1_WPF_bazowy'!#REF!</f>
        <v>#REF!</v>
      </c>
      <c r="AI30" s="157" t="e">
        <f>+'Zał.1_WPF_bazowy'!#REF!</f>
        <v>#REF!</v>
      </c>
      <c r="AJ30" s="157" t="e">
        <f>+'Zał.1_WPF_bazowy'!#REF!</f>
        <v>#REF!</v>
      </c>
      <c r="AK30" s="157" t="e">
        <f>+'Zał.1_WPF_bazowy'!#REF!</f>
        <v>#REF!</v>
      </c>
      <c r="AL30" s="158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3" t="s">
        <v>28</v>
      </c>
      <c r="B31" s="29">
        <v>3</v>
      </c>
      <c r="C31" s="260" t="s">
        <v>346</v>
      </c>
      <c r="D31" s="197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-4361472.719999999</v>
      </c>
      <c r="J31" s="52">
        <f aca="true" t="shared" si="3" ref="J31:AL31">+J10-J21</f>
        <v>-1543247</v>
      </c>
      <c r="K31" s="52">
        <f t="shared" si="3"/>
        <v>2896023</v>
      </c>
      <c r="L31" s="52">
        <f t="shared" si="3"/>
        <v>556076</v>
      </c>
      <c r="M31" s="52">
        <f t="shared" si="3"/>
        <v>537000</v>
      </c>
      <c r="N31" s="52">
        <f t="shared" si="3"/>
        <v>500000</v>
      </c>
      <c r="O31" s="52">
        <f t="shared" si="3"/>
        <v>700000</v>
      </c>
      <c r="P31" s="52">
        <f t="shared" si="3"/>
        <v>700000</v>
      </c>
      <c r="Q31" s="52">
        <f t="shared" si="3"/>
        <v>556457</v>
      </c>
      <c r="R31" s="52">
        <f t="shared" si="3"/>
        <v>0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3" t="s">
        <v>28</v>
      </c>
      <c r="B32" s="29">
        <v>4</v>
      </c>
      <c r="C32" s="260" t="s">
        <v>347</v>
      </c>
      <c r="D32" s="197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4950000</v>
      </c>
      <c r="J32" s="52">
        <f aca="true" t="shared" si="4" ref="J32:AL32">+J33+J35+J37+J39</f>
        <v>4600000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>
        <f t="shared" si="4"/>
        <v>0</v>
      </c>
      <c r="R32" s="52">
        <f t="shared" si="4"/>
        <v>0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3" t="s">
        <v>28</v>
      </c>
      <c r="B33" s="30" t="s">
        <v>136</v>
      </c>
      <c r="C33" s="79"/>
      <c r="D33" s="198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5" t="e">
        <f>'Zał.1_WPF_bazowy'!#REF!</f>
        <v>#REF!</v>
      </c>
      <c r="I33" s="156">
        <f>+'Zał.1_WPF_bazowy'!E33</f>
        <v>950000</v>
      </c>
      <c r="J33" s="157">
        <f>+'Zał.1_WPF_bazowy'!F33</f>
        <v>0</v>
      </c>
      <c r="K33" s="157">
        <f>+'Zał.1_WPF_bazowy'!G33</f>
        <v>0</v>
      </c>
      <c r="L33" s="157">
        <f>+'Zał.1_WPF_bazowy'!H33</f>
        <v>0</v>
      </c>
      <c r="M33" s="157">
        <f>+'Zał.1_WPF_bazowy'!I33</f>
        <v>0</v>
      </c>
      <c r="N33" s="157">
        <f>+'Zał.1_WPF_bazowy'!J33</f>
        <v>0</v>
      </c>
      <c r="O33" s="157">
        <f>+'Zał.1_WPF_bazowy'!K33</f>
        <v>0</v>
      </c>
      <c r="P33" s="157">
        <f>+'Zał.1_WPF_bazowy'!L33</f>
        <v>0</v>
      </c>
      <c r="Q33" s="157">
        <f>+'Zał.1_WPF_bazowy'!M33</f>
        <v>0</v>
      </c>
      <c r="R33" s="157">
        <f>+'Zał.1_WPF_bazowy'!N33</f>
        <v>0</v>
      </c>
      <c r="S33" s="157" t="e">
        <f>+'Zał.1_WPF_bazowy'!#REF!</f>
        <v>#REF!</v>
      </c>
      <c r="T33" s="157" t="e">
        <f>+'Zał.1_WPF_bazowy'!#REF!</f>
        <v>#REF!</v>
      </c>
      <c r="U33" s="157" t="e">
        <f>+'Zał.1_WPF_bazowy'!#REF!</f>
        <v>#REF!</v>
      </c>
      <c r="V33" s="157" t="e">
        <f>+'Zał.1_WPF_bazowy'!#REF!</f>
        <v>#REF!</v>
      </c>
      <c r="W33" s="157" t="e">
        <f>+'Zał.1_WPF_bazowy'!#REF!</f>
        <v>#REF!</v>
      </c>
      <c r="X33" s="157" t="e">
        <f>+'Zał.1_WPF_bazowy'!#REF!</f>
        <v>#REF!</v>
      </c>
      <c r="Y33" s="157" t="e">
        <f>+'Zał.1_WPF_bazowy'!#REF!</f>
        <v>#REF!</v>
      </c>
      <c r="Z33" s="157" t="e">
        <f>+'Zał.1_WPF_bazowy'!#REF!</f>
        <v>#REF!</v>
      </c>
      <c r="AA33" s="157" t="e">
        <f>+'Zał.1_WPF_bazowy'!#REF!</f>
        <v>#REF!</v>
      </c>
      <c r="AB33" s="157" t="e">
        <f>+'Zał.1_WPF_bazowy'!#REF!</f>
        <v>#REF!</v>
      </c>
      <c r="AC33" s="157" t="e">
        <f>+'Zał.1_WPF_bazowy'!#REF!</f>
        <v>#REF!</v>
      </c>
      <c r="AD33" s="157" t="e">
        <f>+'Zał.1_WPF_bazowy'!#REF!</f>
        <v>#REF!</v>
      </c>
      <c r="AE33" s="157" t="e">
        <f>+'Zał.1_WPF_bazowy'!#REF!</f>
        <v>#REF!</v>
      </c>
      <c r="AF33" s="157" t="e">
        <f>+'Zał.1_WPF_bazowy'!#REF!</f>
        <v>#REF!</v>
      </c>
      <c r="AG33" s="157" t="e">
        <f>+'Zał.1_WPF_bazowy'!#REF!</f>
        <v>#REF!</v>
      </c>
      <c r="AH33" s="157" t="e">
        <f>+'Zał.1_WPF_bazowy'!#REF!</f>
        <v>#REF!</v>
      </c>
      <c r="AI33" s="157" t="e">
        <f>+'Zał.1_WPF_bazowy'!#REF!</f>
        <v>#REF!</v>
      </c>
      <c r="AJ33" s="157" t="e">
        <f>+'Zał.1_WPF_bazowy'!#REF!</f>
        <v>#REF!</v>
      </c>
      <c r="AK33" s="157" t="e">
        <f>+'Zał.1_WPF_bazowy'!#REF!</f>
        <v>#REF!</v>
      </c>
      <c r="AL33" s="158" t="e">
        <f>+'Zał.1_WPF_bazowy'!#REF!</f>
        <v>#REF!</v>
      </c>
    </row>
    <row r="34" spans="1:38" ht="14.25" outlineLevel="2">
      <c r="A34" s="243" t="s">
        <v>28</v>
      </c>
      <c r="B34" s="30" t="s">
        <v>63</v>
      </c>
      <c r="C34" s="79"/>
      <c r="D34" s="199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5" t="e">
        <f>'Zał.1_WPF_bazowy'!#REF!</f>
        <v>#REF!</v>
      </c>
      <c r="I34" s="156">
        <f>+'Zał.1_WPF_bazowy'!E34</f>
        <v>950000</v>
      </c>
      <c r="J34" s="157">
        <f>+'Zał.1_WPF_bazowy'!F34</f>
        <v>0</v>
      </c>
      <c r="K34" s="157">
        <f>+'Zał.1_WPF_bazowy'!G34</f>
        <v>0</v>
      </c>
      <c r="L34" s="157">
        <f>+'Zał.1_WPF_bazowy'!H34</f>
        <v>0</v>
      </c>
      <c r="M34" s="157">
        <f>+'Zał.1_WPF_bazowy'!I34</f>
        <v>0</v>
      </c>
      <c r="N34" s="157">
        <f>+'Zał.1_WPF_bazowy'!J34</f>
        <v>0</v>
      </c>
      <c r="O34" s="157">
        <f>+'Zał.1_WPF_bazowy'!K34</f>
        <v>0</v>
      </c>
      <c r="P34" s="157">
        <f>+'Zał.1_WPF_bazowy'!L34</f>
        <v>0</v>
      </c>
      <c r="Q34" s="157">
        <f>+'Zał.1_WPF_bazowy'!M34</f>
        <v>0</v>
      </c>
      <c r="R34" s="157">
        <f>+'Zał.1_WPF_bazowy'!N34</f>
        <v>0</v>
      </c>
      <c r="S34" s="157" t="e">
        <f>+'Zał.1_WPF_bazowy'!#REF!</f>
        <v>#REF!</v>
      </c>
      <c r="T34" s="157" t="e">
        <f>+'Zał.1_WPF_bazowy'!#REF!</f>
        <v>#REF!</v>
      </c>
      <c r="U34" s="157" t="e">
        <f>+'Zał.1_WPF_bazowy'!#REF!</f>
        <v>#REF!</v>
      </c>
      <c r="V34" s="157" t="e">
        <f>+'Zał.1_WPF_bazowy'!#REF!</f>
        <v>#REF!</v>
      </c>
      <c r="W34" s="157" t="e">
        <f>+'Zał.1_WPF_bazowy'!#REF!</f>
        <v>#REF!</v>
      </c>
      <c r="X34" s="157" t="e">
        <f>+'Zał.1_WPF_bazowy'!#REF!</f>
        <v>#REF!</v>
      </c>
      <c r="Y34" s="157" t="e">
        <f>+'Zał.1_WPF_bazowy'!#REF!</f>
        <v>#REF!</v>
      </c>
      <c r="Z34" s="157" t="e">
        <f>+'Zał.1_WPF_bazowy'!#REF!</f>
        <v>#REF!</v>
      </c>
      <c r="AA34" s="157" t="e">
        <f>+'Zał.1_WPF_bazowy'!#REF!</f>
        <v>#REF!</v>
      </c>
      <c r="AB34" s="157" t="e">
        <f>+'Zał.1_WPF_bazowy'!#REF!</f>
        <v>#REF!</v>
      </c>
      <c r="AC34" s="157" t="e">
        <f>+'Zał.1_WPF_bazowy'!#REF!</f>
        <v>#REF!</v>
      </c>
      <c r="AD34" s="157" t="e">
        <f>+'Zał.1_WPF_bazowy'!#REF!</f>
        <v>#REF!</v>
      </c>
      <c r="AE34" s="157" t="e">
        <f>+'Zał.1_WPF_bazowy'!#REF!</f>
        <v>#REF!</v>
      </c>
      <c r="AF34" s="157" t="e">
        <f>+'Zał.1_WPF_bazowy'!#REF!</f>
        <v>#REF!</v>
      </c>
      <c r="AG34" s="157" t="e">
        <f>+'Zał.1_WPF_bazowy'!#REF!</f>
        <v>#REF!</v>
      </c>
      <c r="AH34" s="157" t="e">
        <f>+'Zał.1_WPF_bazowy'!#REF!</f>
        <v>#REF!</v>
      </c>
      <c r="AI34" s="157" t="e">
        <f>+'Zał.1_WPF_bazowy'!#REF!</f>
        <v>#REF!</v>
      </c>
      <c r="AJ34" s="157" t="e">
        <f>+'Zał.1_WPF_bazowy'!#REF!</f>
        <v>#REF!</v>
      </c>
      <c r="AK34" s="157" t="e">
        <f>+'Zał.1_WPF_bazowy'!#REF!</f>
        <v>#REF!</v>
      </c>
      <c r="AL34" s="158" t="e">
        <f>+'Zał.1_WPF_bazowy'!#REF!</f>
        <v>#REF!</v>
      </c>
    </row>
    <row r="35" spans="1:38" ht="14.25" outlineLevel="2">
      <c r="A35" s="243" t="s">
        <v>28</v>
      </c>
      <c r="B35" s="30" t="s">
        <v>137</v>
      </c>
      <c r="C35" s="79"/>
      <c r="D35" s="198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5" t="e">
        <f>'Zał.1_WPF_bazowy'!#REF!</f>
        <v>#REF!</v>
      </c>
      <c r="I35" s="156">
        <f>+'Zał.1_WPF_bazowy'!E35</f>
        <v>0</v>
      </c>
      <c r="J35" s="157">
        <f>+'Zał.1_WPF_bazowy'!F35</f>
        <v>0</v>
      </c>
      <c r="K35" s="157">
        <f>+'Zał.1_WPF_bazowy'!G35</f>
        <v>0</v>
      </c>
      <c r="L35" s="157">
        <f>+'Zał.1_WPF_bazowy'!H35</f>
        <v>0</v>
      </c>
      <c r="M35" s="157">
        <f>+'Zał.1_WPF_bazowy'!I35</f>
        <v>0</v>
      </c>
      <c r="N35" s="157">
        <f>+'Zał.1_WPF_bazowy'!J35</f>
        <v>0</v>
      </c>
      <c r="O35" s="157">
        <f>+'Zał.1_WPF_bazowy'!K35</f>
        <v>0</v>
      </c>
      <c r="P35" s="157">
        <f>+'Zał.1_WPF_bazowy'!L35</f>
        <v>0</v>
      </c>
      <c r="Q35" s="157">
        <f>+'Zał.1_WPF_bazowy'!M35</f>
        <v>0</v>
      </c>
      <c r="R35" s="157">
        <f>+'Zał.1_WPF_bazowy'!N35</f>
        <v>0</v>
      </c>
      <c r="S35" s="157" t="e">
        <f>+'Zał.1_WPF_bazowy'!#REF!</f>
        <v>#REF!</v>
      </c>
      <c r="T35" s="157" t="e">
        <f>+'Zał.1_WPF_bazowy'!#REF!</f>
        <v>#REF!</v>
      </c>
      <c r="U35" s="157" t="e">
        <f>+'Zał.1_WPF_bazowy'!#REF!</f>
        <v>#REF!</v>
      </c>
      <c r="V35" s="157" t="e">
        <f>+'Zał.1_WPF_bazowy'!#REF!</f>
        <v>#REF!</v>
      </c>
      <c r="W35" s="157" t="e">
        <f>+'Zał.1_WPF_bazowy'!#REF!</f>
        <v>#REF!</v>
      </c>
      <c r="X35" s="157" t="e">
        <f>+'Zał.1_WPF_bazowy'!#REF!</f>
        <v>#REF!</v>
      </c>
      <c r="Y35" s="157" t="e">
        <f>+'Zał.1_WPF_bazowy'!#REF!</f>
        <v>#REF!</v>
      </c>
      <c r="Z35" s="157" t="e">
        <f>+'Zał.1_WPF_bazowy'!#REF!</f>
        <v>#REF!</v>
      </c>
      <c r="AA35" s="157" t="e">
        <f>+'Zał.1_WPF_bazowy'!#REF!</f>
        <v>#REF!</v>
      </c>
      <c r="AB35" s="157" t="e">
        <f>+'Zał.1_WPF_bazowy'!#REF!</f>
        <v>#REF!</v>
      </c>
      <c r="AC35" s="157" t="e">
        <f>+'Zał.1_WPF_bazowy'!#REF!</f>
        <v>#REF!</v>
      </c>
      <c r="AD35" s="157" t="e">
        <f>+'Zał.1_WPF_bazowy'!#REF!</f>
        <v>#REF!</v>
      </c>
      <c r="AE35" s="157" t="e">
        <f>+'Zał.1_WPF_bazowy'!#REF!</f>
        <v>#REF!</v>
      </c>
      <c r="AF35" s="157" t="e">
        <f>+'Zał.1_WPF_bazowy'!#REF!</f>
        <v>#REF!</v>
      </c>
      <c r="AG35" s="157" t="e">
        <f>+'Zał.1_WPF_bazowy'!#REF!</f>
        <v>#REF!</v>
      </c>
      <c r="AH35" s="157" t="e">
        <f>+'Zał.1_WPF_bazowy'!#REF!</f>
        <v>#REF!</v>
      </c>
      <c r="AI35" s="157" t="e">
        <f>+'Zał.1_WPF_bazowy'!#REF!</f>
        <v>#REF!</v>
      </c>
      <c r="AJ35" s="157" t="e">
        <f>+'Zał.1_WPF_bazowy'!#REF!</f>
        <v>#REF!</v>
      </c>
      <c r="AK35" s="157" t="e">
        <f>+'Zał.1_WPF_bazowy'!#REF!</f>
        <v>#REF!</v>
      </c>
      <c r="AL35" s="158" t="e">
        <f>+'Zał.1_WPF_bazowy'!#REF!</f>
        <v>#REF!</v>
      </c>
    </row>
    <row r="36" spans="1:38" ht="14.25" outlineLevel="2">
      <c r="A36" s="243" t="s">
        <v>28</v>
      </c>
      <c r="B36" s="30" t="s">
        <v>66</v>
      </c>
      <c r="C36" s="79"/>
      <c r="D36" s="199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5" t="e">
        <f>'Zał.1_WPF_bazowy'!#REF!</f>
        <v>#REF!</v>
      </c>
      <c r="I36" s="156">
        <f>+'Zał.1_WPF_bazowy'!E36</f>
        <v>0</v>
      </c>
      <c r="J36" s="157">
        <f>+'Zał.1_WPF_bazowy'!F36</f>
        <v>0</v>
      </c>
      <c r="K36" s="157">
        <f>+'Zał.1_WPF_bazowy'!G36</f>
        <v>0</v>
      </c>
      <c r="L36" s="157">
        <f>+'Zał.1_WPF_bazowy'!H36</f>
        <v>0</v>
      </c>
      <c r="M36" s="157">
        <f>+'Zał.1_WPF_bazowy'!I36</f>
        <v>0</v>
      </c>
      <c r="N36" s="157">
        <f>+'Zał.1_WPF_bazowy'!J36</f>
        <v>0</v>
      </c>
      <c r="O36" s="157">
        <f>+'Zał.1_WPF_bazowy'!K36</f>
        <v>0</v>
      </c>
      <c r="P36" s="157">
        <f>+'Zał.1_WPF_bazowy'!L36</f>
        <v>0</v>
      </c>
      <c r="Q36" s="157">
        <f>+'Zał.1_WPF_bazowy'!M36</f>
        <v>0</v>
      </c>
      <c r="R36" s="157">
        <f>+'Zał.1_WPF_bazowy'!N36</f>
        <v>0</v>
      </c>
      <c r="S36" s="157" t="e">
        <f>+'Zał.1_WPF_bazowy'!#REF!</f>
        <v>#REF!</v>
      </c>
      <c r="T36" s="157" t="e">
        <f>+'Zał.1_WPF_bazowy'!#REF!</f>
        <v>#REF!</v>
      </c>
      <c r="U36" s="157" t="e">
        <f>+'Zał.1_WPF_bazowy'!#REF!</f>
        <v>#REF!</v>
      </c>
      <c r="V36" s="157" t="e">
        <f>+'Zał.1_WPF_bazowy'!#REF!</f>
        <v>#REF!</v>
      </c>
      <c r="W36" s="157" t="e">
        <f>+'Zał.1_WPF_bazowy'!#REF!</f>
        <v>#REF!</v>
      </c>
      <c r="X36" s="157" t="e">
        <f>+'Zał.1_WPF_bazowy'!#REF!</f>
        <v>#REF!</v>
      </c>
      <c r="Y36" s="157" t="e">
        <f>+'Zał.1_WPF_bazowy'!#REF!</f>
        <v>#REF!</v>
      </c>
      <c r="Z36" s="157" t="e">
        <f>+'Zał.1_WPF_bazowy'!#REF!</f>
        <v>#REF!</v>
      </c>
      <c r="AA36" s="157" t="e">
        <f>+'Zał.1_WPF_bazowy'!#REF!</f>
        <v>#REF!</v>
      </c>
      <c r="AB36" s="157" t="e">
        <f>+'Zał.1_WPF_bazowy'!#REF!</f>
        <v>#REF!</v>
      </c>
      <c r="AC36" s="157" t="e">
        <f>+'Zał.1_WPF_bazowy'!#REF!</f>
        <v>#REF!</v>
      </c>
      <c r="AD36" s="157" t="e">
        <f>+'Zał.1_WPF_bazowy'!#REF!</f>
        <v>#REF!</v>
      </c>
      <c r="AE36" s="157" t="e">
        <f>+'Zał.1_WPF_bazowy'!#REF!</f>
        <v>#REF!</v>
      </c>
      <c r="AF36" s="157" t="e">
        <f>+'Zał.1_WPF_bazowy'!#REF!</f>
        <v>#REF!</v>
      </c>
      <c r="AG36" s="157" t="e">
        <f>+'Zał.1_WPF_bazowy'!#REF!</f>
        <v>#REF!</v>
      </c>
      <c r="AH36" s="157" t="e">
        <f>+'Zał.1_WPF_bazowy'!#REF!</f>
        <v>#REF!</v>
      </c>
      <c r="AI36" s="157" t="e">
        <f>+'Zał.1_WPF_bazowy'!#REF!</f>
        <v>#REF!</v>
      </c>
      <c r="AJ36" s="157" t="e">
        <f>+'Zał.1_WPF_bazowy'!#REF!</f>
        <v>#REF!</v>
      </c>
      <c r="AK36" s="157" t="e">
        <f>+'Zał.1_WPF_bazowy'!#REF!</f>
        <v>#REF!</v>
      </c>
      <c r="AL36" s="158" t="e">
        <f>+'Zał.1_WPF_bazowy'!#REF!</f>
        <v>#REF!</v>
      </c>
    </row>
    <row r="37" spans="1:38" ht="14.25" outlineLevel="2">
      <c r="A37" s="243" t="s">
        <v>28</v>
      </c>
      <c r="B37" s="30" t="s">
        <v>138</v>
      </c>
      <c r="C37" s="79"/>
      <c r="D37" s="198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5" t="e">
        <f>'Zał.1_WPF_bazowy'!#REF!</f>
        <v>#REF!</v>
      </c>
      <c r="I37" s="156">
        <f>+'Zał.1_WPF_bazowy'!E37</f>
        <v>3800000</v>
      </c>
      <c r="J37" s="157">
        <f>+'Zał.1_WPF_bazowy'!F37</f>
        <v>4600000</v>
      </c>
      <c r="K37" s="157">
        <f>+'Zał.1_WPF_bazowy'!G37</f>
        <v>0</v>
      </c>
      <c r="L37" s="157">
        <f>+'Zał.1_WPF_bazowy'!H37</f>
        <v>0</v>
      </c>
      <c r="M37" s="157">
        <f>+'Zał.1_WPF_bazowy'!I37</f>
        <v>0</v>
      </c>
      <c r="N37" s="157">
        <f>+'Zał.1_WPF_bazowy'!J37</f>
        <v>0</v>
      </c>
      <c r="O37" s="157">
        <f>+'Zał.1_WPF_bazowy'!K37</f>
        <v>0</v>
      </c>
      <c r="P37" s="157">
        <f>+'Zał.1_WPF_bazowy'!L37</f>
        <v>0</v>
      </c>
      <c r="Q37" s="157">
        <f>+'Zał.1_WPF_bazowy'!M37</f>
        <v>0</v>
      </c>
      <c r="R37" s="157">
        <f>+'Zał.1_WPF_bazowy'!N37</f>
        <v>0</v>
      </c>
      <c r="S37" s="157" t="e">
        <f>+'Zał.1_WPF_bazowy'!#REF!</f>
        <v>#REF!</v>
      </c>
      <c r="T37" s="157" t="e">
        <f>+'Zał.1_WPF_bazowy'!#REF!</f>
        <v>#REF!</v>
      </c>
      <c r="U37" s="157" t="e">
        <f>+'Zał.1_WPF_bazowy'!#REF!</f>
        <v>#REF!</v>
      </c>
      <c r="V37" s="157" t="e">
        <f>+'Zał.1_WPF_bazowy'!#REF!</f>
        <v>#REF!</v>
      </c>
      <c r="W37" s="157" t="e">
        <f>+'Zał.1_WPF_bazowy'!#REF!</f>
        <v>#REF!</v>
      </c>
      <c r="X37" s="157" t="e">
        <f>+'Zał.1_WPF_bazowy'!#REF!</f>
        <v>#REF!</v>
      </c>
      <c r="Y37" s="157" t="e">
        <f>+'Zał.1_WPF_bazowy'!#REF!</f>
        <v>#REF!</v>
      </c>
      <c r="Z37" s="157" t="e">
        <f>+'Zał.1_WPF_bazowy'!#REF!</f>
        <v>#REF!</v>
      </c>
      <c r="AA37" s="157" t="e">
        <f>+'Zał.1_WPF_bazowy'!#REF!</f>
        <v>#REF!</v>
      </c>
      <c r="AB37" s="157" t="e">
        <f>+'Zał.1_WPF_bazowy'!#REF!</f>
        <v>#REF!</v>
      </c>
      <c r="AC37" s="157" t="e">
        <f>+'Zał.1_WPF_bazowy'!#REF!</f>
        <v>#REF!</v>
      </c>
      <c r="AD37" s="157" t="e">
        <f>+'Zał.1_WPF_bazowy'!#REF!</f>
        <v>#REF!</v>
      </c>
      <c r="AE37" s="157" t="e">
        <f>+'Zał.1_WPF_bazowy'!#REF!</f>
        <v>#REF!</v>
      </c>
      <c r="AF37" s="157" t="e">
        <f>+'Zał.1_WPF_bazowy'!#REF!</f>
        <v>#REF!</v>
      </c>
      <c r="AG37" s="157" t="e">
        <f>+'Zał.1_WPF_bazowy'!#REF!</f>
        <v>#REF!</v>
      </c>
      <c r="AH37" s="157" t="e">
        <f>+'Zał.1_WPF_bazowy'!#REF!</f>
        <v>#REF!</v>
      </c>
      <c r="AI37" s="157" t="e">
        <f>+'Zał.1_WPF_bazowy'!#REF!</f>
        <v>#REF!</v>
      </c>
      <c r="AJ37" s="157" t="e">
        <f>+'Zał.1_WPF_bazowy'!#REF!</f>
        <v>#REF!</v>
      </c>
      <c r="AK37" s="157" t="e">
        <f>+'Zał.1_WPF_bazowy'!#REF!</f>
        <v>#REF!</v>
      </c>
      <c r="AL37" s="158" t="e">
        <f>+'Zał.1_WPF_bazowy'!#REF!</f>
        <v>#REF!</v>
      </c>
    </row>
    <row r="38" spans="1:38" ht="14.25" outlineLevel="2">
      <c r="A38" s="243" t="s">
        <v>28</v>
      </c>
      <c r="B38" s="30" t="s">
        <v>69</v>
      </c>
      <c r="C38" s="79"/>
      <c r="D38" s="199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5" t="e">
        <f>'Zał.1_WPF_bazowy'!#REF!</f>
        <v>#REF!</v>
      </c>
      <c r="I38" s="156">
        <f>+'Zał.1_WPF_bazowy'!E38</f>
        <v>3411472.72</v>
      </c>
      <c r="J38" s="157">
        <f>+'Zał.1_WPF_bazowy'!F38</f>
        <v>1543247</v>
      </c>
      <c r="K38" s="157">
        <f>+'Zał.1_WPF_bazowy'!G38</f>
        <v>0</v>
      </c>
      <c r="L38" s="157">
        <f>+'Zał.1_WPF_bazowy'!H38</f>
        <v>0</v>
      </c>
      <c r="M38" s="157">
        <f>+'Zał.1_WPF_bazowy'!I38</f>
        <v>0</v>
      </c>
      <c r="N38" s="157">
        <f>+'Zał.1_WPF_bazowy'!J38</f>
        <v>0</v>
      </c>
      <c r="O38" s="157">
        <f>+'Zał.1_WPF_bazowy'!K38</f>
        <v>0</v>
      </c>
      <c r="P38" s="157">
        <f>+'Zał.1_WPF_bazowy'!L38</f>
        <v>0</v>
      </c>
      <c r="Q38" s="157">
        <f>+'Zał.1_WPF_bazowy'!M38</f>
        <v>0</v>
      </c>
      <c r="R38" s="157">
        <f>+'Zał.1_WPF_bazowy'!N38</f>
        <v>0</v>
      </c>
      <c r="S38" s="157" t="e">
        <f>+'Zał.1_WPF_bazowy'!#REF!</f>
        <v>#REF!</v>
      </c>
      <c r="T38" s="157" t="e">
        <f>+'Zał.1_WPF_bazowy'!#REF!</f>
        <v>#REF!</v>
      </c>
      <c r="U38" s="157" t="e">
        <f>+'Zał.1_WPF_bazowy'!#REF!</f>
        <v>#REF!</v>
      </c>
      <c r="V38" s="157" t="e">
        <f>+'Zał.1_WPF_bazowy'!#REF!</f>
        <v>#REF!</v>
      </c>
      <c r="W38" s="157" t="e">
        <f>+'Zał.1_WPF_bazowy'!#REF!</f>
        <v>#REF!</v>
      </c>
      <c r="X38" s="157" t="e">
        <f>+'Zał.1_WPF_bazowy'!#REF!</f>
        <v>#REF!</v>
      </c>
      <c r="Y38" s="157" t="e">
        <f>+'Zał.1_WPF_bazowy'!#REF!</f>
        <v>#REF!</v>
      </c>
      <c r="Z38" s="157" t="e">
        <f>+'Zał.1_WPF_bazowy'!#REF!</f>
        <v>#REF!</v>
      </c>
      <c r="AA38" s="157" t="e">
        <f>+'Zał.1_WPF_bazowy'!#REF!</f>
        <v>#REF!</v>
      </c>
      <c r="AB38" s="157" t="e">
        <f>+'Zał.1_WPF_bazowy'!#REF!</f>
        <v>#REF!</v>
      </c>
      <c r="AC38" s="157" t="e">
        <f>+'Zał.1_WPF_bazowy'!#REF!</f>
        <v>#REF!</v>
      </c>
      <c r="AD38" s="157" t="e">
        <f>+'Zał.1_WPF_bazowy'!#REF!</f>
        <v>#REF!</v>
      </c>
      <c r="AE38" s="157" t="e">
        <f>+'Zał.1_WPF_bazowy'!#REF!</f>
        <v>#REF!</v>
      </c>
      <c r="AF38" s="157" t="e">
        <f>+'Zał.1_WPF_bazowy'!#REF!</f>
        <v>#REF!</v>
      </c>
      <c r="AG38" s="157" t="e">
        <f>+'Zał.1_WPF_bazowy'!#REF!</f>
        <v>#REF!</v>
      </c>
      <c r="AH38" s="157" t="e">
        <f>+'Zał.1_WPF_bazowy'!#REF!</f>
        <v>#REF!</v>
      </c>
      <c r="AI38" s="157" t="e">
        <f>+'Zał.1_WPF_bazowy'!#REF!</f>
        <v>#REF!</v>
      </c>
      <c r="AJ38" s="157" t="e">
        <f>+'Zał.1_WPF_bazowy'!#REF!</f>
        <v>#REF!</v>
      </c>
      <c r="AK38" s="157" t="e">
        <f>+'Zał.1_WPF_bazowy'!#REF!</f>
        <v>#REF!</v>
      </c>
      <c r="AL38" s="158" t="e">
        <f>+'Zał.1_WPF_bazowy'!#REF!</f>
        <v>#REF!</v>
      </c>
    </row>
    <row r="39" spans="1:38" ht="14.25" outlineLevel="2">
      <c r="A39" s="243" t="s">
        <v>28</v>
      </c>
      <c r="B39" s="30" t="s">
        <v>139</v>
      </c>
      <c r="C39" s="79"/>
      <c r="D39" s="198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5" t="e">
        <f>'Zał.1_WPF_bazowy'!#REF!</f>
        <v>#REF!</v>
      </c>
      <c r="I39" s="156">
        <f>+'Zał.1_WPF_bazowy'!E39</f>
        <v>200000</v>
      </c>
      <c r="J39" s="157">
        <f>+'Zał.1_WPF_bazowy'!F39</f>
        <v>0</v>
      </c>
      <c r="K39" s="157">
        <f>+'Zał.1_WPF_bazowy'!G39</f>
        <v>0</v>
      </c>
      <c r="L39" s="157">
        <f>+'Zał.1_WPF_bazowy'!H39</f>
        <v>0</v>
      </c>
      <c r="M39" s="157">
        <f>+'Zał.1_WPF_bazowy'!I39</f>
        <v>0</v>
      </c>
      <c r="N39" s="157">
        <f>+'Zał.1_WPF_bazowy'!J39</f>
        <v>0</v>
      </c>
      <c r="O39" s="157">
        <f>+'Zał.1_WPF_bazowy'!K39</f>
        <v>0</v>
      </c>
      <c r="P39" s="157">
        <f>+'Zał.1_WPF_bazowy'!L39</f>
        <v>0</v>
      </c>
      <c r="Q39" s="157">
        <f>+'Zał.1_WPF_bazowy'!M39</f>
        <v>0</v>
      </c>
      <c r="R39" s="157">
        <f>+'Zał.1_WPF_bazowy'!N39</f>
        <v>0</v>
      </c>
      <c r="S39" s="157" t="e">
        <f>+'Zał.1_WPF_bazowy'!#REF!</f>
        <v>#REF!</v>
      </c>
      <c r="T39" s="157" t="e">
        <f>+'Zał.1_WPF_bazowy'!#REF!</f>
        <v>#REF!</v>
      </c>
      <c r="U39" s="157" t="e">
        <f>+'Zał.1_WPF_bazowy'!#REF!</f>
        <v>#REF!</v>
      </c>
      <c r="V39" s="157" t="e">
        <f>+'Zał.1_WPF_bazowy'!#REF!</f>
        <v>#REF!</v>
      </c>
      <c r="W39" s="157" t="e">
        <f>+'Zał.1_WPF_bazowy'!#REF!</f>
        <v>#REF!</v>
      </c>
      <c r="X39" s="157" t="e">
        <f>+'Zał.1_WPF_bazowy'!#REF!</f>
        <v>#REF!</v>
      </c>
      <c r="Y39" s="157" t="e">
        <f>+'Zał.1_WPF_bazowy'!#REF!</f>
        <v>#REF!</v>
      </c>
      <c r="Z39" s="157" t="e">
        <f>+'Zał.1_WPF_bazowy'!#REF!</f>
        <v>#REF!</v>
      </c>
      <c r="AA39" s="157" t="e">
        <f>+'Zał.1_WPF_bazowy'!#REF!</f>
        <v>#REF!</v>
      </c>
      <c r="AB39" s="157" t="e">
        <f>+'Zał.1_WPF_bazowy'!#REF!</f>
        <v>#REF!</v>
      </c>
      <c r="AC39" s="157" t="e">
        <f>+'Zał.1_WPF_bazowy'!#REF!</f>
        <v>#REF!</v>
      </c>
      <c r="AD39" s="157" t="e">
        <f>+'Zał.1_WPF_bazowy'!#REF!</f>
        <v>#REF!</v>
      </c>
      <c r="AE39" s="157" t="e">
        <f>+'Zał.1_WPF_bazowy'!#REF!</f>
        <v>#REF!</v>
      </c>
      <c r="AF39" s="157" t="e">
        <f>+'Zał.1_WPF_bazowy'!#REF!</f>
        <v>#REF!</v>
      </c>
      <c r="AG39" s="157" t="e">
        <f>+'Zał.1_WPF_bazowy'!#REF!</f>
        <v>#REF!</v>
      </c>
      <c r="AH39" s="157" t="e">
        <f>+'Zał.1_WPF_bazowy'!#REF!</f>
        <v>#REF!</v>
      </c>
      <c r="AI39" s="157" t="e">
        <f>+'Zał.1_WPF_bazowy'!#REF!</f>
        <v>#REF!</v>
      </c>
      <c r="AJ39" s="157" t="e">
        <f>+'Zał.1_WPF_bazowy'!#REF!</f>
        <v>#REF!</v>
      </c>
      <c r="AK39" s="157" t="e">
        <f>+'Zał.1_WPF_bazowy'!#REF!</f>
        <v>#REF!</v>
      </c>
      <c r="AL39" s="158" t="e">
        <f>+'Zał.1_WPF_bazowy'!#REF!</f>
        <v>#REF!</v>
      </c>
    </row>
    <row r="40" spans="1:38" ht="14.25" outlineLevel="2">
      <c r="A40" s="243" t="s">
        <v>28</v>
      </c>
      <c r="B40" s="30" t="s">
        <v>71</v>
      </c>
      <c r="C40" s="79"/>
      <c r="D40" s="199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5" t="e">
        <f>'Zał.1_WPF_bazowy'!#REF!</f>
        <v>#REF!</v>
      </c>
      <c r="I40" s="156">
        <f>+'Zał.1_WPF_bazowy'!E40</f>
        <v>0</v>
      </c>
      <c r="J40" s="157">
        <f>+'Zał.1_WPF_bazowy'!F40</f>
        <v>0</v>
      </c>
      <c r="K40" s="157">
        <f>+'Zał.1_WPF_bazowy'!G40</f>
        <v>0</v>
      </c>
      <c r="L40" s="157">
        <f>+'Zał.1_WPF_bazowy'!H40</f>
        <v>0</v>
      </c>
      <c r="M40" s="157">
        <f>+'Zał.1_WPF_bazowy'!I40</f>
        <v>0</v>
      </c>
      <c r="N40" s="157">
        <f>+'Zał.1_WPF_bazowy'!J40</f>
        <v>0</v>
      </c>
      <c r="O40" s="157">
        <f>+'Zał.1_WPF_bazowy'!K40</f>
        <v>0</v>
      </c>
      <c r="P40" s="157">
        <f>+'Zał.1_WPF_bazowy'!L40</f>
        <v>0</v>
      </c>
      <c r="Q40" s="157">
        <f>+'Zał.1_WPF_bazowy'!M40</f>
        <v>0</v>
      </c>
      <c r="R40" s="157">
        <f>+'Zał.1_WPF_bazowy'!N40</f>
        <v>0</v>
      </c>
      <c r="S40" s="157" t="e">
        <f>+'Zał.1_WPF_bazowy'!#REF!</f>
        <v>#REF!</v>
      </c>
      <c r="T40" s="157" t="e">
        <f>+'Zał.1_WPF_bazowy'!#REF!</f>
        <v>#REF!</v>
      </c>
      <c r="U40" s="157" t="e">
        <f>+'Zał.1_WPF_bazowy'!#REF!</f>
        <v>#REF!</v>
      </c>
      <c r="V40" s="157" t="e">
        <f>+'Zał.1_WPF_bazowy'!#REF!</f>
        <v>#REF!</v>
      </c>
      <c r="W40" s="157" t="e">
        <f>+'Zał.1_WPF_bazowy'!#REF!</f>
        <v>#REF!</v>
      </c>
      <c r="X40" s="157" t="e">
        <f>+'Zał.1_WPF_bazowy'!#REF!</f>
        <v>#REF!</v>
      </c>
      <c r="Y40" s="157" t="e">
        <f>+'Zał.1_WPF_bazowy'!#REF!</f>
        <v>#REF!</v>
      </c>
      <c r="Z40" s="157" t="e">
        <f>+'Zał.1_WPF_bazowy'!#REF!</f>
        <v>#REF!</v>
      </c>
      <c r="AA40" s="157" t="e">
        <f>+'Zał.1_WPF_bazowy'!#REF!</f>
        <v>#REF!</v>
      </c>
      <c r="AB40" s="157" t="e">
        <f>+'Zał.1_WPF_bazowy'!#REF!</f>
        <v>#REF!</v>
      </c>
      <c r="AC40" s="157" t="e">
        <f>+'Zał.1_WPF_bazowy'!#REF!</f>
        <v>#REF!</v>
      </c>
      <c r="AD40" s="157" t="e">
        <f>+'Zał.1_WPF_bazowy'!#REF!</f>
        <v>#REF!</v>
      </c>
      <c r="AE40" s="157" t="e">
        <f>+'Zał.1_WPF_bazowy'!#REF!</f>
        <v>#REF!</v>
      </c>
      <c r="AF40" s="157" t="e">
        <f>+'Zał.1_WPF_bazowy'!#REF!</f>
        <v>#REF!</v>
      </c>
      <c r="AG40" s="157" t="e">
        <f>+'Zał.1_WPF_bazowy'!#REF!</f>
        <v>#REF!</v>
      </c>
      <c r="AH40" s="157" t="e">
        <f>+'Zał.1_WPF_bazowy'!#REF!</f>
        <v>#REF!</v>
      </c>
      <c r="AI40" s="157" t="e">
        <f>+'Zał.1_WPF_bazowy'!#REF!</f>
        <v>#REF!</v>
      </c>
      <c r="AJ40" s="157" t="e">
        <f>+'Zał.1_WPF_bazowy'!#REF!</f>
        <v>#REF!</v>
      </c>
      <c r="AK40" s="157" t="e">
        <f>+'Zał.1_WPF_bazowy'!#REF!</f>
        <v>#REF!</v>
      </c>
      <c r="AL40" s="158" t="e">
        <f>+'Zał.1_WPF_bazowy'!#REF!</f>
        <v>#REF!</v>
      </c>
    </row>
    <row r="41" spans="1:38" s="77" customFormat="1" ht="15.75" outlineLevel="1" thickBot="1">
      <c r="A41" s="243" t="s">
        <v>28</v>
      </c>
      <c r="B41" s="29">
        <v>5</v>
      </c>
      <c r="C41" s="260" t="s">
        <v>348</v>
      </c>
      <c r="D41" s="197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588527.28</v>
      </c>
      <c r="J41" s="52">
        <f t="shared" si="5"/>
        <v>3056753</v>
      </c>
      <c r="K41" s="52">
        <f t="shared" si="5"/>
        <v>2896023</v>
      </c>
      <c r="L41" s="52">
        <f t="shared" si="5"/>
        <v>556076</v>
      </c>
      <c r="M41" s="52">
        <f t="shared" si="5"/>
        <v>537000</v>
      </c>
      <c r="N41" s="52">
        <f t="shared" si="5"/>
        <v>500000</v>
      </c>
      <c r="O41" s="52">
        <f t="shared" si="5"/>
        <v>700000</v>
      </c>
      <c r="P41" s="52">
        <f t="shared" si="5"/>
        <v>700000</v>
      </c>
      <c r="Q41" s="52">
        <f t="shared" si="5"/>
        <v>556457</v>
      </c>
      <c r="R41" s="52">
        <f t="shared" si="5"/>
        <v>0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3" t="s">
        <v>28</v>
      </c>
      <c r="B42" s="30" t="s">
        <v>140</v>
      </c>
      <c r="C42" s="79"/>
      <c r="D42" s="198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5" t="e">
        <f>'Zał.1_WPF_bazowy'!#REF!</f>
        <v>#REF!</v>
      </c>
      <c r="I42" s="156">
        <f>+'Zał.1_WPF_bazowy'!E42</f>
        <v>388527.28</v>
      </c>
      <c r="J42" s="157">
        <f>+'Zał.1_WPF_bazowy'!F42</f>
        <v>3056753</v>
      </c>
      <c r="K42" s="157">
        <f>+'Zał.1_WPF_bazowy'!G42</f>
        <v>2896023</v>
      </c>
      <c r="L42" s="157">
        <f>+'Zał.1_WPF_bazowy'!H42</f>
        <v>556076</v>
      </c>
      <c r="M42" s="157">
        <f>+'Zał.1_WPF_bazowy'!I42</f>
        <v>537000</v>
      </c>
      <c r="N42" s="157">
        <f>+'Zał.1_WPF_bazowy'!J42</f>
        <v>500000</v>
      </c>
      <c r="O42" s="157">
        <f>+'Zał.1_WPF_bazowy'!K42</f>
        <v>700000</v>
      </c>
      <c r="P42" s="157">
        <f>+'Zał.1_WPF_bazowy'!L42</f>
        <v>700000</v>
      </c>
      <c r="Q42" s="157">
        <f>+'Zał.1_WPF_bazowy'!M42</f>
        <v>556457</v>
      </c>
      <c r="R42" s="157">
        <f>+'Zał.1_WPF_bazowy'!N42</f>
        <v>0</v>
      </c>
      <c r="S42" s="157" t="e">
        <f>+'Zał.1_WPF_bazowy'!#REF!</f>
        <v>#REF!</v>
      </c>
      <c r="T42" s="157" t="e">
        <f>+'Zał.1_WPF_bazowy'!#REF!</f>
        <v>#REF!</v>
      </c>
      <c r="U42" s="157" t="e">
        <f>+'Zał.1_WPF_bazowy'!#REF!</f>
        <v>#REF!</v>
      </c>
      <c r="V42" s="157" t="e">
        <f>+'Zał.1_WPF_bazowy'!#REF!</f>
        <v>#REF!</v>
      </c>
      <c r="W42" s="157" t="e">
        <f>+'Zał.1_WPF_bazowy'!#REF!</f>
        <v>#REF!</v>
      </c>
      <c r="X42" s="157" t="e">
        <f>+'Zał.1_WPF_bazowy'!#REF!</f>
        <v>#REF!</v>
      </c>
      <c r="Y42" s="157" t="e">
        <f>+'Zał.1_WPF_bazowy'!#REF!</f>
        <v>#REF!</v>
      </c>
      <c r="Z42" s="157" t="e">
        <f>+'Zał.1_WPF_bazowy'!#REF!</f>
        <v>#REF!</v>
      </c>
      <c r="AA42" s="157" t="e">
        <f>+'Zał.1_WPF_bazowy'!#REF!</f>
        <v>#REF!</v>
      </c>
      <c r="AB42" s="157" t="e">
        <f>+'Zał.1_WPF_bazowy'!#REF!</f>
        <v>#REF!</v>
      </c>
      <c r="AC42" s="157" t="e">
        <f>+'Zał.1_WPF_bazowy'!#REF!</f>
        <v>#REF!</v>
      </c>
      <c r="AD42" s="157" t="e">
        <f>+'Zał.1_WPF_bazowy'!#REF!</f>
        <v>#REF!</v>
      </c>
      <c r="AE42" s="157" t="e">
        <f>+'Zał.1_WPF_bazowy'!#REF!</f>
        <v>#REF!</v>
      </c>
      <c r="AF42" s="157" t="e">
        <f>+'Zał.1_WPF_bazowy'!#REF!</f>
        <v>#REF!</v>
      </c>
      <c r="AG42" s="157" t="e">
        <f>+'Zał.1_WPF_bazowy'!#REF!</f>
        <v>#REF!</v>
      </c>
      <c r="AH42" s="157" t="e">
        <f>+'Zał.1_WPF_bazowy'!#REF!</f>
        <v>#REF!</v>
      </c>
      <c r="AI42" s="157" t="e">
        <f>+'Zał.1_WPF_bazowy'!#REF!</f>
        <v>#REF!</v>
      </c>
      <c r="AJ42" s="157" t="e">
        <f>+'Zał.1_WPF_bazowy'!#REF!</f>
        <v>#REF!</v>
      </c>
      <c r="AK42" s="157" t="e">
        <f>+'Zał.1_WPF_bazowy'!#REF!</f>
        <v>#REF!</v>
      </c>
      <c r="AL42" s="158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3" t="s">
        <v>28</v>
      </c>
      <c r="B43" s="30" t="s">
        <v>74</v>
      </c>
      <c r="C43" s="79" t="s">
        <v>349</v>
      </c>
      <c r="D43" s="199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2731444</v>
      </c>
      <c r="K43" s="97">
        <f t="shared" si="6"/>
        <v>2416023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>
        <f t="shared" si="6"/>
        <v>0</v>
      </c>
      <c r="R43" s="97">
        <f t="shared" si="6"/>
        <v>0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3" t="s">
        <v>28</v>
      </c>
      <c r="B44" s="30" t="s">
        <v>75</v>
      </c>
      <c r="C44" s="79"/>
      <c r="D44" s="200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5" t="e">
        <f>'Zał.1_WPF_bazowy'!#REF!</f>
        <v>#REF!</v>
      </c>
      <c r="I44" s="156">
        <f>+'Zał.1_WPF_bazowy'!E44</f>
        <v>0</v>
      </c>
      <c r="J44" s="157">
        <f>+'Zał.1_WPF_bazowy'!F44</f>
        <v>2731444</v>
      </c>
      <c r="K44" s="157">
        <f>+'Zał.1_WPF_bazowy'!G44</f>
        <v>2416023</v>
      </c>
      <c r="L44" s="157">
        <f>+'Zał.1_WPF_bazowy'!H44</f>
        <v>0</v>
      </c>
      <c r="M44" s="157">
        <f>+'Zał.1_WPF_bazowy'!I44</f>
        <v>0</v>
      </c>
      <c r="N44" s="157">
        <f>+'Zał.1_WPF_bazowy'!J44</f>
        <v>0</v>
      </c>
      <c r="O44" s="157">
        <f>+'Zał.1_WPF_bazowy'!K44</f>
        <v>0</v>
      </c>
      <c r="P44" s="157">
        <f>+'Zał.1_WPF_bazowy'!L44</f>
        <v>0</v>
      </c>
      <c r="Q44" s="157">
        <f>+'Zał.1_WPF_bazowy'!M44</f>
        <v>0</v>
      </c>
      <c r="R44" s="157">
        <f>+'Zał.1_WPF_bazowy'!N44</f>
        <v>0</v>
      </c>
      <c r="S44" s="157" t="e">
        <f>+'Zał.1_WPF_bazowy'!#REF!</f>
        <v>#REF!</v>
      </c>
      <c r="T44" s="157" t="e">
        <f>+'Zał.1_WPF_bazowy'!#REF!</f>
        <v>#REF!</v>
      </c>
      <c r="U44" s="157" t="e">
        <f>+'Zał.1_WPF_bazowy'!#REF!</f>
        <v>#REF!</v>
      </c>
      <c r="V44" s="157" t="e">
        <f>+'Zał.1_WPF_bazowy'!#REF!</f>
        <v>#REF!</v>
      </c>
      <c r="W44" s="157" t="e">
        <f>+'Zał.1_WPF_bazowy'!#REF!</f>
        <v>#REF!</v>
      </c>
      <c r="X44" s="157" t="e">
        <f>+'Zał.1_WPF_bazowy'!#REF!</f>
        <v>#REF!</v>
      </c>
      <c r="Y44" s="157" t="e">
        <f>+'Zał.1_WPF_bazowy'!#REF!</f>
        <v>#REF!</v>
      </c>
      <c r="Z44" s="157" t="e">
        <f>+'Zał.1_WPF_bazowy'!#REF!</f>
        <v>#REF!</v>
      </c>
      <c r="AA44" s="157" t="e">
        <f>+'Zał.1_WPF_bazowy'!#REF!</f>
        <v>#REF!</v>
      </c>
      <c r="AB44" s="157" t="e">
        <f>+'Zał.1_WPF_bazowy'!#REF!</f>
        <v>#REF!</v>
      </c>
      <c r="AC44" s="157" t="e">
        <f>+'Zał.1_WPF_bazowy'!#REF!</f>
        <v>#REF!</v>
      </c>
      <c r="AD44" s="157" t="e">
        <f>+'Zał.1_WPF_bazowy'!#REF!</f>
        <v>#REF!</v>
      </c>
      <c r="AE44" s="157" t="e">
        <f>+'Zał.1_WPF_bazowy'!#REF!</f>
        <v>#REF!</v>
      </c>
      <c r="AF44" s="157" t="e">
        <f>+'Zał.1_WPF_bazowy'!#REF!</f>
        <v>#REF!</v>
      </c>
      <c r="AG44" s="157" t="e">
        <f>+'Zał.1_WPF_bazowy'!#REF!</f>
        <v>#REF!</v>
      </c>
      <c r="AH44" s="157" t="e">
        <f>+'Zał.1_WPF_bazowy'!#REF!</f>
        <v>#REF!</v>
      </c>
      <c r="AI44" s="157" t="e">
        <f>+'Zał.1_WPF_bazowy'!#REF!</f>
        <v>#REF!</v>
      </c>
      <c r="AJ44" s="157" t="e">
        <f>+'Zał.1_WPF_bazowy'!#REF!</f>
        <v>#REF!</v>
      </c>
      <c r="AK44" s="157" t="e">
        <f>+'Zał.1_WPF_bazowy'!#REF!</f>
        <v>#REF!</v>
      </c>
      <c r="AL44" s="158" t="e">
        <f>+'Zał.1_WPF_bazowy'!#REF!</f>
        <v>#REF!</v>
      </c>
    </row>
    <row r="45" spans="1:38" ht="14.25" outlineLevel="2">
      <c r="A45" s="243" t="s">
        <v>28</v>
      </c>
      <c r="B45" s="30" t="s">
        <v>352</v>
      </c>
      <c r="C45" s="79"/>
      <c r="D45" s="200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5" t="e">
        <f>'Zał.1_WPF_bazowy'!#REF!</f>
        <v>#REF!</v>
      </c>
      <c r="I45" s="156">
        <f>+'Zał.1_WPF_bazowy'!E45</f>
        <v>0</v>
      </c>
      <c r="J45" s="157">
        <f>+'Zał.1_WPF_bazowy'!F45</f>
        <v>0</v>
      </c>
      <c r="K45" s="157">
        <f>+'Zał.1_WPF_bazowy'!G45</f>
        <v>0</v>
      </c>
      <c r="L45" s="157">
        <f>+'Zał.1_WPF_bazowy'!H45</f>
        <v>0</v>
      </c>
      <c r="M45" s="157">
        <f>+'Zał.1_WPF_bazowy'!I45</f>
        <v>0</v>
      </c>
      <c r="N45" s="157">
        <f>+'Zał.1_WPF_bazowy'!J45</f>
        <v>0</v>
      </c>
      <c r="O45" s="157">
        <f>+'Zał.1_WPF_bazowy'!K45</f>
        <v>0</v>
      </c>
      <c r="P45" s="157">
        <f>+'Zał.1_WPF_bazowy'!L45</f>
        <v>0</v>
      </c>
      <c r="Q45" s="157">
        <f>+'Zał.1_WPF_bazowy'!M45</f>
        <v>0</v>
      </c>
      <c r="R45" s="157">
        <f>+'Zał.1_WPF_bazowy'!N45</f>
        <v>0</v>
      </c>
      <c r="S45" s="157" t="e">
        <f>+'Zał.1_WPF_bazowy'!#REF!</f>
        <v>#REF!</v>
      </c>
      <c r="T45" s="157" t="e">
        <f>+'Zał.1_WPF_bazowy'!#REF!</f>
        <v>#REF!</v>
      </c>
      <c r="U45" s="157" t="e">
        <f>+'Zał.1_WPF_bazowy'!#REF!</f>
        <v>#REF!</v>
      </c>
      <c r="V45" s="157" t="e">
        <f>+'Zał.1_WPF_bazowy'!#REF!</f>
        <v>#REF!</v>
      </c>
      <c r="W45" s="157" t="e">
        <f>+'Zał.1_WPF_bazowy'!#REF!</f>
        <v>#REF!</v>
      </c>
      <c r="X45" s="157" t="e">
        <f>+'Zał.1_WPF_bazowy'!#REF!</f>
        <v>#REF!</v>
      </c>
      <c r="Y45" s="157" t="e">
        <f>+'Zał.1_WPF_bazowy'!#REF!</f>
        <v>#REF!</v>
      </c>
      <c r="Z45" s="157" t="e">
        <f>+'Zał.1_WPF_bazowy'!#REF!</f>
        <v>#REF!</v>
      </c>
      <c r="AA45" s="157" t="e">
        <f>+'Zał.1_WPF_bazowy'!#REF!</f>
        <v>#REF!</v>
      </c>
      <c r="AB45" s="157" t="e">
        <f>+'Zał.1_WPF_bazowy'!#REF!</f>
        <v>#REF!</v>
      </c>
      <c r="AC45" s="157" t="e">
        <f>+'Zał.1_WPF_bazowy'!#REF!</f>
        <v>#REF!</v>
      </c>
      <c r="AD45" s="157" t="e">
        <f>+'Zał.1_WPF_bazowy'!#REF!</f>
        <v>#REF!</v>
      </c>
      <c r="AE45" s="157" t="e">
        <f>+'Zał.1_WPF_bazowy'!#REF!</f>
        <v>#REF!</v>
      </c>
      <c r="AF45" s="157" t="e">
        <f>+'Zał.1_WPF_bazowy'!#REF!</f>
        <v>#REF!</v>
      </c>
      <c r="AG45" s="157" t="e">
        <f>+'Zał.1_WPF_bazowy'!#REF!</f>
        <v>#REF!</v>
      </c>
      <c r="AH45" s="157" t="e">
        <f>+'Zał.1_WPF_bazowy'!#REF!</f>
        <v>#REF!</v>
      </c>
      <c r="AI45" s="157" t="e">
        <f>+'Zał.1_WPF_bazowy'!#REF!</f>
        <v>#REF!</v>
      </c>
      <c r="AJ45" s="157" t="e">
        <f>+'Zał.1_WPF_bazowy'!#REF!</f>
        <v>#REF!</v>
      </c>
      <c r="AK45" s="157" t="e">
        <f>+'Zał.1_WPF_bazowy'!#REF!</f>
        <v>#REF!</v>
      </c>
      <c r="AL45" s="158" t="e">
        <f>+'Zał.1_WPF_bazowy'!#REF!</f>
        <v>#REF!</v>
      </c>
    </row>
    <row r="46" spans="1:38" ht="14.25" outlineLevel="2">
      <c r="A46" s="243" t="s">
        <v>28</v>
      </c>
      <c r="B46" s="30" t="s">
        <v>354</v>
      </c>
      <c r="C46" s="79"/>
      <c r="D46" s="200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5" t="e">
        <f>'Zał.1_WPF_bazowy'!#REF!</f>
        <v>#REF!</v>
      </c>
      <c r="I46" s="156">
        <f>+'Zał.1_WPF_bazowy'!E46</f>
        <v>0</v>
      </c>
      <c r="J46" s="157">
        <f>+'Zał.1_WPF_bazowy'!F46</f>
        <v>0</v>
      </c>
      <c r="K46" s="157">
        <f>+'Zał.1_WPF_bazowy'!G46</f>
        <v>0</v>
      </c>
      <c r="L46" s="157">
        <f>+'Zał.1_WPF_bazowy'!H46</f>
        <v>0</v>
      </c>
      <c r="M46" s="157">
        <f>+'Zał.1_WPF_bazowy'!I46</f>
        <v>0</v>
      </c>
      <c r="N46" s="157">
        <f>+'Zał.1_WPF_bazowy'!J46</f>
        <v>0</v>
      </c>
      <c r="O46" s="157">
        <f>+'Zał.1_WPF_bazowy'!K46</f>
        <v>0</v>
      </c>
      <c r="P46" s="157">
        <f>+'Zał.1_WPF_bazowy'!L46</f>
        <v>0</v>
      </c>
      <c r="Q46" s="157">
        <f>+'Zał.1_WPF_bazowy'!M46</f>
        <v>0</v>
      </c>
      <c r="R46" s="157">
        <f>+'Zał.1_WPF_bazowy'!N46</f>
        <v>0</v>
      </c>
      <c r="S46" s="157" t="e">
        <f>+'Zał.1_WPF_bazowy'!#REF!</f>
        <v>#REF!</v>
      </c>
      <c r="T46" s="157" t="e">
        <f>+'Zał.1_WPF_bazowy'!#REF!</f>
        <v>#REF!</v>
      </c>
      <c r="U46" s="157" t="e">
        <f>+'Zał.1_WPF_bazowy'!#REF!</f>
        <v>#REF!</v>
      </c>
      <c r="V46" s="157" t="e">
        <f>+'Zał.1_WPF_bazowy'!#REF!</f>
        <v>#REF!</v>
      </c>
      <c r="W46" s="157" t="e">
        <f>+'Zał.1_WPF_bazowy'!#REF!</f>
        <v>#REF!</v>
      </c>
      <c r="X46" s="157" t="e">
        <f>+'Zał.1_WPF_bazowy'!#REF!</f>
        <v>#REF!</v>
      </c>
      <c r="Y46" s="157" t="e">
        <f>+'Zał.1_WPF_bazowy'!#REF!</f>
        <v>#REF!</v>
      </c>
      <c r="Z46" s="157" t="e">
        <f>+'Zał.1_WPF_bazowy'!#REF!</f>
        <v>#REF!</v>
      </c>
      <c r="AA46" s="157" t="e">
        <f>+'Zał.1_WPF_bazowy'!#REF!</f>
        <v>#REF!</v>
      </c>
      <c r="AB46" s="157" t="e">
        <f>+'Zał.1_WPF_bazowy'!#REF!</f>
        <v>#REF!</v>
      </c>
      <c r="AC46" s="157" t="e">
        <f>+'Zał.1_WPF_bazowy'!#REF!</f>
        <v>#REF!</v>
      </c>
      <c r="AD46" s="157" t="e">
        <f>+'Zał.1_WPF_bazowy'!#REF!</f>
        <v>#REF!</v>
      </c>
      <c r="AE46" s="157" t="e">
        <f>+'Zał.1_WPF_bazowy'!#REF!</f>
        <v>#REF!</v>
      </c>
      <c r="AF46" s="157" t="e">
        <f>+'Zał.1_WPF_bazowy'!#REF!</f>
        <v>#REF!</v>
      </c>
      <c r="AG46" s="157" t="e">
        <f>+'Zał.1_WPF_bazowy'!#REF!</f>
        <v>#REF!</v>
      </c>
      <c r="AH46" s="157" t="e">
        <f>+'Zał.1_WPF_bazowy'!#REF!</f>
        <v>#REF!</v>
      </c>
      <c r="AI46" s="157" t="e">
        <f>+'Zał.1_WPF_bazowy'!#REF!</f>
        <v>#REF!</v>
      </c>
      <c r="AJ46" s="157" t="e">
        <f>+'Zał.1_WPF_bazowy'!#REF!</f>
        <v>#REF!</v>
      </c>
      <c r="AK46" s="157" t="e">
        <f>+'Zał.1_WPF_bazowy'!#REF!</f>
        <v>#REF!</v>
      </c>
      <c r="AL46" s="158" t="e">
        <f>+'Zał.1_WPF_bazowy'!#REF!</f>
        <v>#REF!</v>
      </c>
    </row>
    <row r="47" spans="1:38" ht="14.25" outlineLevel="2">
      <c r="A47" s="243"/>
      <c r="B47" s="30" t="s">
        <v>141</v>
      </c>
      <c r="C47" s="79"/>
      <c r="D47" s="198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5" t="e">
        <f>'Zał.1_WPF_bazowy'!#REF!</f>
        <v>#REF!</v>
      </c>
      <c r="I47" s="156">
        <f>+'Zał.1_WPF_bazowy'!E47</f>
        <v>200000</v>
      </c>
      <c r="J47" s="157">
        <f>+'Zał.1_WPF_bazowy'!F47</f>
        <v>0</v>
      </c>
      <c r="K47" s="157">
        <f>+'Zał.1_WPF_bazowy'!G47</f>
        <v>0</v>
      </c>
      <c r="L47" s="157">
        <f>+'Zał.1_WPF_bazowy'!H47</f>
        <v>0</v>
      </c>
      <c r="M47" s="157">
        <f>+'Zał.1_WPF_bazowy'!I47</f>
        <v>0</v>
      </c>
      <c r="N47" s="157">
        <f>+'Zał.1_WPF_bazowy'!J47</f>
        <v>0</v>
      </c>
      <c r="O47" s="157">
        <f>+'Zał.1_WPF_bazowy'!K47</f>
        <v>0</v>
      </c>
      <c r="P47" s="157">
        <f>+'Zał.1_WPF_bazowy'!L47</f>
        <v>0</v>
      </c>
      <c r="Q47" s="157">
        <f>+'Zał.1_WPF_bazowy'!M47</f>
        <v>0</v>
      </c>
      <c r="R47" s="157">
        <f>+'Zał.1_WPF_bazowy'!N47</f>
        <v>0</v>
      </c>
      <c r="S47" s="157" t="e">
        <f>+'Zał.1_WPF_bazowy'!#REF!</f>
        <v>#REF!</v>
      </c>
      <c r="T47" s="157" t="e">
        <f>+'Zał.1_WPF_bazowy'!#REF!</f>
        <v>#REF!</v>
      </c>
      <c r="U47" s="157" t="e">
        <f>+'Zał.1_WPF_bazowy'!#REF!</f>
        <v>#REF!</v>
      </c>
      <c r="V47" s="157" t="e">
        <f>+'Zał.1_WPF_bazowy'!#REF!</f>
        <v>#REF!</v>
      </c>
      <c r="W47" s="157" t="e">
        <f>+'Zał.1_WPF_bazowy'!#REF!</f>
        <v>#REF!</v>
      </c>
      <c r="X47" s="157" t="e">
        <f>+'Zał.1_WPF_bazowy'!#REF!</f>
        <v>#REF!</v>
      </c>
      <c r="Y47" s="157" t="e">
        <f>+'Zał.1_WPF_bazowy'!#REF!</f>
        <v>#REF!</v>
      </c>
      <c r="Z47" s="157" t="e">
        <f>+'Zał.1_WPF_bazowy'!#REF!</f>
        <v>#REF!</v>
      </c>
      <c r="AA47" s="157" t="e">
        <f>+'Zał.1_WPF_bazowy'!#REF!</f>
        <v>#REF!</v>
      </c>
      <c r="AB47" s="157" t="e">
        <f>+'Zał.1_WPF_bazowy'!#REF!</f>
        <v>#REF!</v>
      </c>
      <c r="AC47" s="157" t="e">
        <f>+'Zał.1_WPF_bazowy'!#REF!</f>
        <v>#REF!</v>
      </c>
      <c r="AD47" s="157" t="e">
        <f>+'Zał.1_WPF_bazowy'!#REF!</f>
        <v>#REF!</v>
      </c>
      <c r="AE47" s="157" t="e">
        <f>+'Zał.1_WPF_bazowy'!#REF!</f>
        <v>#REF!</v>
      </c>
      <c r="AF47" s="157" t="e">
        <f>+'Zał.1_WPF_bazowy'!#REF!</f>
        <v>#REF!</v>
      </c>
      <c r="AG47" s="157" t="e">
        <f>+'Zał.1_WPF_bazowy'!#REF!</f>
        <v>#REF!</v>
      </c>
      <c r="AH47" s="157" t="e">
        <f>+'Zał.1_WPF_bazowy'!#REF!</f>
        <v>#REF!</v>
      </c>
      <c r="AI47" s="157" t="e">
        <f>+'Zał.1_WPF_bazowy'!#REF!</f>
        <v>#REF!</v>
      </c>
      <c r="AJ47" s="157" t="e">
        <f>+'Zał.1_WPF_bazowy'!#REF!</f>
        <v>#REF!</v>
      </c>
      <c r="AK47" s="157" t="e">
        <f>+'Zał.1_WPF_bazowy'!#REF!</f>
        <v>#REF!</v>
      </c>
      <c r="AL47" s="158" t="e">
        <f>+'Zał.1_WPF_bazowy'!#REF!</f>
        <v>#REF!</v>
      </c>
    </row>
    <row r="48" spans="1:38" s="77" customFormat="1" ht="15" outlineLevel="1">
      <c r="A48" s="243" t="s">
        <v>28</v>
      </c>
      <c r="B48" s="29">
        <v>6</v>
      </c>
      <c r="C48" s="260"/>
      <c r="D48" s="197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59" t="e">
        <f>'Zał.1_WPF_bazowy'!#REF!</f>
        <v>#REF!</v>
      </c>
      <c r="I48" s="160" t="e">
        <f aca="true" t="shared" si="7" ref="I48:AL48">+IF(I10&lt;&gt;0,H48+I37-I42+(I105-H105)+I110,0)</f>
        <v>#REF!</v>
      </c>
      <c r="J48" s="161" t="e">
        <f t="shared" si="7"/>
        <v>#REF!</v>
      </c>
      <c r="K48" s="161" t="e">
        <f t="shared" si="7"/>
        <v>#REF!</v>
      </c>
      <c r="L48" s="161" t="e">
        <f t="shared" si="7"/>
        <v>#REF!</v>
      </c>
      <c r="M48" s="161" t="e">
        <f t="shared" si="7"/>
        <v>#REF!</v>
      </c>
      <c r="N48" s="161" t="e">
        <f t="shared" si="7"/>
        <v>#REF!</v>
      </c>
      <c r="O48" s="161" t="e">
        <f t="shared" si="7"/>
        <v>#REF!</v>
      </c>
      <c r="P48" s="161" t="e">
        <f t="shared" si="7"/>
        <v>#REF!</v>
      </c>
      <c r="Q48" s="161" t="e">
        <f t="shared" si="7"/>
        <v>#REF!</v>
      </c>
      <c r="R48" s="161" t="e">
        <f t="shared" si="7"/>
        <v>#REF!</v>
      </c>
      <c r="S48" s="161" t="e">
        <f t="shared" si="7"/>
        <v>#REF!</v>
      </c>
      <c r="T48" s="161" t="e">
        <f t="shared" si="7"/>
        <v>#REF!</v>
      </c>
      <c r="U48" s="161" t="e">
        <f t="shared" si="7"/>
        <v>#REF!</v>
      </c>
      <c r="V48" s="161" t="e">
        <f t="shared" si="7"/>
        <v>#REF!</v>
      </c>
      <c r="W48" s="161" t="e">
        <f t="shared" si="7"/>
        <v>#REF!</v>
      </c>
      <c r="X48" s="161" t="e">
        <f t="shared" si="7"/>
        <v>#REF!</v>
      </c>
      <c r="Y48" s="161" t="e">
        <f t="shared" si="7"/>
        <v>#REF!</v>
      </c>
      <c r="Z48" s="161" t="e">
        <f t="shared" si="7"/>
        <v>#REF!</v>
      </c>
      <c r="AA48" s="161" t="e">
        <f t="shared" si="7"/>
        <v>#REF!</v>
      </c>
      <c r="AB48" s="161" t="e">
        <f t="shared" si="7"/>
        <v>#REF!</v>
      </c>
      <c r="AC48" s="161" t="e">
        <f t="shared" si="7"/>
        <v>#REF!</v>
      </c>
      <c r="AD48" s="161" t="e">
        <f t="shared" si="7"/>
        <v>#REF!</v>
      </c>
      <c r="AE48" s="161" t="e">
        <f t="shared" si="7"/>
        <v>#REF!</v>
      </c>
      <c r="AF48" s="161" t="e">
        <f t="shared" si="7"/>
        <v>#REF!</v>
      </c>
      <c r="AG48" s="161" t="e">
        <f t="shared" si="7"/>
        <v>#REF!</v>
      </c>
      <c r="AH48" s="161" t="e">
        <f t="shared" si="7"/>
        <v>#REF!</v>
      </c>
      <c r="AI48" s="161" t="e">
        <f t="shared" si="7"/>
        <v>#REF!</v>
      </c>
      <c r="AJ48" s="161" t="e">
        <f t="shared" si="7"/>
        <v>#REF!</v>
      </c>
      <c r="AK48" s="161" t="e">
        <f t="shared" si="7"/>
        <v>#REF!</v>
      </c>
      <c r="AL48" s="162" t="e">
        <f t="shared" si="7"/>
        <v>#REF!</v>
      </c>
    </row>
    <row r="49" spans="1:38" s="77" customFormat="1" ht="24" outlineLevel="1">
      <c r="A49" s="243"/>
      <c r="B49" s="29">
        <v>7</v>
      </c>
      <c r="C49" s="260"/>
      <c r="D49" s="197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59" t="e">
        <f>'Zał.1_WPF_bazowy'!#REF!</f>
        <v>#REF!</v>
      </c>
      <c r="I49" s="163">
        <f>+'Zał.1_WPF_bazowy'!E49</f>
        <v>0</v>
      </c>
      <c r="J49" s="164">
        <f>+'Zał.1_WPF_bazowy'!F49</f>
        <v>0</v>
      </c>
      <c r="K49" s="164">
        <f>+'Zał.1_WPF_bazowy'!G49</f>
        <v>0</v>
      </c>
      <c r="L49" s="164">
        <f>+'Zał.1_WPF_bazowy'!H49</f>
        <v>0</v>
      </c>
      <c r="M49" s="164">
        <f>+'Zał.1_WPF_bazowy'!I49</f>
        <v>0</v>
      </c>
      <c r="N49" s="164">
        <f>+'Zał.1_WPF_bazowy'!J49</f>
        <v>0</v>
      </c>
      <c r="O49" s="164">
        <f>+'Zał.1_WPF_bazowy'!K49</f>
        <v>0</v>
      </c>
      <c r="P49" s="164">
        <f>+'Zał.1_WPF_bazowy'!L49</f>
        <v>0</v>
      </c>
      <c r="Q49" s="164">
        <f>+'Zał.1_WPF_bazowy'!M49</f>
        <v>0</v>
      </c>
      <c r="R49" s="164">
        <f>+'Zał.1_WPF_bazowy'!N49</f>
        <v>0</v>
      </c>
      <c r="S49" s="164" t="e">
        <f>+'Zał.1_WPF_bazowy'!#REF!</f>
        <v>#REF!</v>
      </c>
      <c r="T49" s="164" t="e">
        <f>+'Zał.1_WPF_bazowy'!#REF!</f>
        <v>#REF!</v>
      </c>
      <c r="U49" s="164" t="e">
        <f>+'Zał.1_WPF_bazowy'!#REF!</f>
        <v>#REF!</v>
      </c>
      <c r="V49" s="164" t="e">
        <f>+'Zał.1_WPF_bazowy'!#REF!</f>
        <v>#REF!</v>
      </c>
      <c r="W49" s="164" t="e">
        <f>+'Zał.1_WPF_bazowy'!#REF!</f>
        <v>#REF!</v>
      </c>
      <c r="X49" s="164" t="e">
        <f>+'Zał.1_WPF_bazowy'!#REF!</f>
        <v>#REF!</v>
      </c>
      <c r="Y49" s="164" t="e">
        <f>+'Zał.1_WPF_bazowy'!#REF!</f>
        <v>#REF!</v>
      </c>
      <c r="Z49" s="164" t="e">
        <f>+'Zał.1_WPF_bazowy'!#REF!</f>
        <v>#REF!</v>
      </c>
      <c r="AA49" s="164" t="e">
        <f>+'Zał.1_WPF_bazowy'!#REF!</f>
        <v>#REF!</v>
      </c>
      <c r="AB49" s="164" t="e">
        <f>+'Zał.1_WPF_bazowy'!#REF!</f>
        <v>#REF!</v>
      </c>
      <c r="AC49" s="164" t="e">
        <f>+'Zał.1_WPF_bazowy'!#REF!</f>
        <v>#REF!</v>
      </c>
      <c r="AD49" s="164" t="e">
        <f>+'Zał.1_WPF_bazowy'!#REF!</f>
        <v>#REF!</v>
      </c>
      <c r="AE49" s="164" t="e">
        <f>+'Zał.1_WPF_bazowy'!#REF!</f>
        <v>#REF!</v>
      </c>
      <c r="AF49" s="164" t="e">
        <f>+'Zał.1_WPF_bazowy'!#REF!</f>
        <v>#REF!</v>
      </c>
      <c r="AG49" s="164" t="e">
        <f>+'Zał.1_WPF_bazowy'!#REF!</f>
        <v>#REF!</v>
      </c>
      <c r="AH49" s="164" t="e">
        <f>+'Zał.1_WPF_bazowy'!#REF!</f>
        <v>#REF!</v>
      </c>
      <c r="AI49" s="164" t="e">
        <f>+'Zał.1_WPF_bazowy'!#REF!</f>
        <v>#REF!</v>
      </c>
      <c r="AJ49" s="164" t="e">
        <f>+'Zał.1_WPF_bazowy'!#REF!</f>
        <v>#REF!</v>
      </c>
      <c r="AK49" s="164" t="e">
        <f>+'Zał.1_WPF_bazowy'!#REF!</f>
        <v>#REF!</v>
      </c>
      <c r="AL49" s="165" t="e">
        <f>+'Zał.1_WPF_bazowy'!#REF!</f>
        <v>#REF!</v>
      </c>
    </row>
    <row r="50" spans="1:38" s="77" customFormat="1" ht="15" outlineLevel="1">
      <c r="A50" s="243"/>
      <c r="B50" s="29">
        <v>8</v>
      </c>
      <c r="C50" s="260"/>
      <c r="D50" s="197" t="s">
        <v>142</v>
      </c>
      <c r="E50" s="133" t="s">
        <v>28</v>
      </c>
      <c r="F50" s="134" t="s">
        <v>28</v>
      </c>
      <c r="G50" s="134" t="s">
        <v>28</v>
      </c>
      <c r="H50" s="166" t="s">
        <v>28</v>
      </c>
      <c r="I50" s="167" t="s">
        <v>28</v>
      </c>
      <c r="J50" s="168" t="s">
        <v>28</v>
      </c>
      <c r="K50" s="168" t="s">
        <v>28</v>
      </c>
      <c r="L50" s="168" t="s">
        <v>28</v>
      </c>
      <c r="M50" s="168" t="s">
        <v>28</v>
      </c>
      <c r="N50" s="168" t="s">
        <v>28</v>
      </c>
      <c r="O50" s="168" t="s">
        <v>28</v>
      </c>
      <c r="P50" s="168" t="s">
        <v>28</v>
      </c>
      <c r="Q50" s="168" t="s">
        <v>28</v>
      </c>
      <c r="R50" s="168" t="s">
        <v>28</v>
      </c>
      <c r="S50" s="168" t="s">
        <v>28</v>
      </c>
      <c r="T50" s="168" t="s">
        <v>28</v>
      </c>
      <c r="U50" s="168" t="s">
        <v>28</v>
      </c>
      <c r="V50" s="168" t="s">
        <v>28</v>
      </c>
      <c r="W50" s="168" t="s">
        <v>28</v>
      </c>
      <c r="X50" s="168" t="s">
        <v>28</v>
      </c>
      <c r="Y50" s="168" t="s">
        <v>28</v>
      </c>
      <c r="Z50" s="168" t="s">
        <v>28</v>
      </c>
      <c r="AA50" s="168" t="s">
        <v>28</v>
      </c>
      <c r="AB50" s="168" t="s">
        <v>28</v>
      </c>
      <c r="AC50" s="168" t="s">
        <v>28</v>
      </c>
      <c r="AD50" s="168" t="s">
        <v>28</v>
      </c>
      <c r="AE50" s="168" t="s">
        <v>28</v>
      </c>
      <c r="AF50" s="168" t="s">
        <v>28</v>
      </c>
      <c r="AG50" s="168" t="s">
        <v>28</v>
      </c>
      <c r="AH50" s="168" t="s">
        <v>28</v>
      </c>
      <c r="AI50" s="168" t="s">
        <v>28</v>
      </c>
      <c r="AJ50" s="168" t="s">
        <v>28</v>
      </c>
      <c r="AK50" s="168" t="s">
        <v>28</v>
      </c>
      <c r="AL50" s="169" t="s">
        <v>28</v>
      </c>
    </row>
    <row r="51" spans="1:38" ht="14.25" outlineLevel="2">
      <c r="A51" s="243"/>
      <c r="B51" s="30" t="s">
        <v>143</v>
      </c>
      <c r="C51" s="79" t="s">
        <v>356</v>
      </c>
      <c r="D51" s="198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2163923.4700000025</v>
      </c>
      <c r="J51" s="97">
        <f t="shared" si="8"/>
        <v>1725309</v>
      </c>
      <c r="K51" s="97">
        <f t="shared" si="8"/>
        <v>1630000</v>
      </c>
      <c r="L51" s="97">
        <f t="shared" si="8"/>
        <v>1656076</v>
      </c>
      <c r="M51" s="97">
        <f t="shared" si="8"/>
        <v>1687000</v>
      </c>
      <c r="N51" s="97">
        <f t="shared" si="8"/>
        <v>1600000</v>
      </c>
      <c r="O51" s="97">
        <f t="shared" si="8"/>
        <v>1500000</v>
      </c>
      <c r="P51" s="97">
        <f t="shared" si="8"/>
        <v>1500000</v>
      </c>
      <c r="Q51" s="97">
        <f t="shared" si="8"/>
        <v>1500000</v>
      </c>
      <c r="R51" s="97">
        <f t="shared" si="8"/>
        <v>1403924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3"/>
      <c r="B52" s="30" t="s">
        <v>144</v>
      </c>
      <c r="C52" s="79" t="s">
        <v>357</v>
      </c>
      <c r="D52" s="198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3113923.4700000025</v>
      </c>
      <c r="J52" s="97">
        <f t="shared" si="9"/>
        <v>1725309</v>
      </c>
      <c r="K52" s="97">
        <f t="shared" si="9"/>
        <v>1630000</v>
      </c>
      <c r="L52" s="97">
        <f t="shared" si="9"/>
        <v>1656076</v>
      </c>
      <c r="M52" s="97">
        <f t="shared" si="9"/>
        <v>1687000</v>
      </c>
      <c r="N52" s="97">
        <f t="shared" si="9"/>
        <v>1600000</v>
      </c>
      <c r="O52" s="97">
        <f t="shared" si="9"/>
        <v>1500000</v>
      </c>
      <c r="P52" s="97">
        <f t="shared" si="9"/>
        <v>1500000</v>
      </c>
      <c r="Q52" s="97">
        <f t="shared" si="9"/>
        <v>1500000</v>
      </c>
      <c r="R52" s="97">
        <f t="shared" si="9"/>
        <v>1403924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3" t="s">
        <v>28</v>
      </c>
      <c r="B53" s="29">
        <v>9</v>
      </c>
      <c r="C53" s="260"/>
      <c r="D53" s="197" t="s">
        <v>145</v>
      </c>
      <c r="E53" s="133" t="s">
        <v>28</v>
      </c>
      <c r="F53" s="134" t="s">
        <v>28</v>
      </c>
      <c r="G53" s="134" t="s">
        <v>28</v>
      </c>
      <c r="H53" s="166" t="s">
        <v>28</v>
      </c>
      <c r="I53" s="167" t="s">
        <v>28</v>
      </c>
      <c r="J53" s="168" t="s">
        <v>28</v>
      </c>
      <c r="K53" s="168" t="s">
        <v>28</v>
      </c>
      <c r="L53" s="168" t="s">
        <v>28</v>
      </c>
      <c r="M53" s="168" t="s">
        <v>28</v>
      </c>
      <c r="N53" s="168" t="s">
        <v>28</v>
      </c>
      <c r="O53" s="168" t="s">
        <v>28</v>
      </c>
      <c r="P53" s="168" t="s">
        <v>28</v>
      </c>
      <c r="Q53" s="168" t="s">
        <v>28</v>
      </c>
      <c r="R53" s="168" t="s">
        <v>28</v>
      </c>
      <c r="S53" s="168" t="s">
        <v>28</v>
      </c>
      <c r="T53" s="168" t="s">
        <v>28</v>
      </c>
      <c r="U53" s="168" t="s">
        <v>28</v>
      </c>
      <c r="V53" s="168" t="s">
        <v>28</v>
      </c>
      <c r="W53" s="168" t="s">
        <v>28</v>
      </c>
      <c r="X53" s="168" t="s">
        <v>28</v>
      </c>
      <c r="Y53" s="168" t="s">
        <v>28</v>
      </c>
      <c r="Z53" s="168" t="s">
        <v>28</v>
      </c>
      <c r="AA53" s="168" t="s">
        <v>28</v>
      </c>
      <c r="AB53" s="168" t="s">
        <v>28</v>
      </c>
      <c r="AC53" s="168" t="s">
        <v>28</v>
      </c>
      <c r="AD53" s="168" t="s">
        <v>28</v>
      </c>
      <c r="AE53" s="168" t="s">
        <v>28</v>
      </c>
      <c r="AF53" s="168" t="s">
        <v>28</v>
      </c>
      <c r="AG53" s="168" t="s">
        <v>28</v>
      </c>
      <c r="AH53" s="168" t="s">
        <v>28</v>
      </c>
      <c r="AI53" s="168" t="s">
        <v>28</v>
      </c>
      <c r="AJ53" s="168" t="s">
        <v>28</v>
      </c>
      <c r="AK53" s="168" t="s">
        <v>28</v>
      </c>
      <c r="AL53" s="169" t="s">
        <v>28</v>
      </c>
    </row>
    <row r="54" spans="1:38" ht="36" outlineLevel="2">
      <c r="A54" s="243" t="s">
        <v>28</v>
      </c>
      <c r="B54" s="30" t="s">
        <v>146</v>
      </c>
      <c r="C54" s="79" t="s">
        <v>359</v>
      </c>
      <c r="D54" s="198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0.0158</v>
      </c>
      <c r="J54" s="94">
        <f t="shared" si="10"/>
        <v>0.0923</v>
      </c>
      <c r="K54" s="94">
        <f t="shared" si="10"/>
        <v>0.0876</v>
      </c>
      <c r="L54" s="94">
        <f t="shared" si="10"/>
        <v>0.0263</v>
      </c>
      <c r="M54" s="94">
        <f t="shared" si="10"/>
        <v>0.0234</v>
      </c>
      <c r="N54" s="94">
        <f t="shared" si="10"/>
        <v>0.0208</v>
      </c>
      <c r="O54" s="94">
        <f t="shared" si="10"/>
        <v>0.0238</v>
      </c>
      <c r="P54" s="94">
        <f t="shared" si="10"/>
        <v>0.0225</v>
      </c>
      <c r="Q54" s="94">
        <f t="shared" si="10"/>
        <v>0.0169</v>
      </c>
      <c r="R54" s="94">
        <f t="shared" si="10"/>
        <v>0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3" t="s">
        <v>28</v>
      </c>
      <c r="B55" s="30" t="s">
        <v>147</v>
      </c>
      <c r="C55" s="253" t="s">
        <v>361</v>
      </c>
      <c r="D55" s="198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0.0158</v>
      </c>
      <c r="J55" s="94">
        <f t="shared" si="11"/>
        <v>0.0204</v>
      </c>
      <c r="K55" s="94">
        <f t="shared" si="11"/>
        <v>0.0242</v>
      </c>
      <c r="L55" s="94">
        <f t="shared" si="11"/>
        <v>0.0263</v>
      </c>
      <c r="M55" s="94">
        <f t="shared" si="11"/>
        <v>0.0234</v>
      </c>
      <c r="N55" s="94">
        <f t="shared" si="11"/>
        <v>0.0208</v>
      </c>
      <c r="O55" s="94">
        <f t="shared" si="11"/>
        <v>0.0238</v>
      </c>
      <c r="P55" s="94">
        <f t="shared" si="11"/>
        <v>0.0225</v>
      </c>
      <c r="Q55" s="94">
        <f t="shared" si="11"/>
        <v>0.0169</v>
      </c>
      <c r="R55" s="94">
        <f t="shared" si="11"/>
        <v>0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3" t="s">
        <v>28</v>
      </c>
      <c r="B56" s="30" t="s">
        <v>148</v>
      </c>
      <c r="C56" s="79"/>
      <c r="D56" s="198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5" t="e">
        <f>'Zał.1_WPF_bazowy'!#REF!</f>
        <v>#REF!</v>
      </c>
      <c r="I56" s="156">
        <f>+'Zał.1_WPF_bazowy'!E56</f>
        <v>3113</v>
      </c>
      <c r="J56" s="157">
        <f>+'Zał.1_WPF_bazowy'!F56</f>
        <v>3027</v>
      </c>
      <c r="K56" s="157">
        <f>+'Zał.1_WPF_bazowy'!G56</f>
        <v>2193</v>
      </c>
      <c r="L56" s="157">
        <f>+'Zał.1_WPF_bazowy'!H56</f>
        <v>0</v>
      </c>
      <c r="M56" s="157">
        <f>+'Zał.1_WPF_bazowy'!I56</f>
        <v>0</v>
      </c>
      <c r="N56" s="157">
        <f>+'Zał.1_WPF_bazowy'!J56</f>
        <v>0</v>
      </c>
      <c r="O56" s="157">
        <f>+'Zał.1_WPF_bazowy'!K56</f>
        <v>0</v>
      </c>
      <c r="P56" s="157">
        <f>+'Zał.1_WPF_bazowy'!L56</f>
        <v>0</v>
      </c>
      <c r="Q56" s="157">
        <f>+'Zał.1_WPF_bazowy'!M56</f>
        <v>0</v>
      </c>
      <c r="R56" s="157">
        <f>+'Zał.1_WPF_bazowy'!N56</f>
        <v>0</v>
      </c>
      <c r="S56" s="157" t="e">
        <f>+'Zał.1_WPF_bazowy'!#REF!</f>
        <v>#REF!</v>
      </c>
      <c r="T56" s="157" t="e">
        <f>+'Zał.1_WPF_bazowy'!#REF!</f>
        <v>#REF!</v>
      </c>
      <c r="U56" s="157" t="e">
        <f>+'Zał.1_WPF_bazowy'!#REF!</f>
        <v>#REF!</v>
      </c>
      <c r="V56" s="157" t="e">
        <f>+'Zał.1_WPF_bazowy'!#REF!</f>
        <v>#REF!</v>
      </c>
      <c r="W56" s="157" t="e">
        <f>+'Zał.1_WPF_bazowy'!#REF!</f>
        <v>#REF!</v>
      </c>
      <c r="X56" s="157" t="e">
        <f>+'Zał.1_WPF_bazowy'!#REF!</f>
        <v>#REF!</v>
      </c>
      <c r="Y56" s="157" t="e">
        <f>+'Zał.1_WPF_bazowy'!#REF!</f>
        <v>#REF!</v>
      </c>
      <c r="Z56" s="157" t="e">
        <f>+'Zał.1_WPF_bazowy'!#REF!</f>
        <v>#REF!</v>
      </c>
      <c r="AA56" s="157" t="e">
        <f>+'Zał.1_WPF_bazowy'!#REF!</f>
        <v>#REF!</v>
      </c>
      <c r="AB56" s="157" t="e">
        <f>+'Zał.1_WPF_bazowy'!#REF!</f>
        <v>#REF!</v>
      </c>
      <c r="AC56" s="157" t="e">
        <f>+'Zał.1_WPF_bazowy'!#REF!</f>
        <v>#REF!</v>
      </c>
      <c r="AD56" s="157" t="e">
        <f>+'Zał.1_WPF_bazowy'!#REF!</f>
        <v>#REF!</v>
      </c>
      <c r="AE56" s="157" t="e">
        <f>+'Zał.1_WPF_bazowy'!#REF!</f>
        <v>#REF!</v>
      </c>
      <c r="AF56" s="157" t="e">
        <f>+'Zał.1_WPF_bazowy'!#REF!</f>
        <v>#REF!</v>
      </c>
      <c r="AG56" s="157" t="e">
        <f>+'Zał.1_WPF_bazowy'!#REF!</f>
        <v>#REF!</v>
      </c>
      <c r="AH56" s="157" t="e">
        <f>+'Zał.1_WPF_bazowy'!#REF!</f>
        <v>#REF!</v>
      </c>
      <c r="AI56" s="157" t="e">
        <f>+'Zał.1_WPF_bazowy'!#REF!</f>
        <v>#REF!</v>
      </c>
      <c r="AJ56" s="157" t="e">
        <f>+'Zał.1_WPF_bazowy'!#REF!</f>
        <v>#REF!</v>
      </c>
      <c r="AK56" s="157" t="e">
        <f>+'Zał.1_WPF_bazowy'!#REF!</f>
        <v>#REF!</v>
      </c>
      <c r="AL56" s="158" t="e">
        <f>+'Zał.1_WPF_bazowy'!#REF!</f>
        <v>#REF!</v>
      </c>
    </row>
    <row r="57" spans="1:38" ht="36" outlineLevel="2">
      <c r="A57" s="243" t="s">
        <v>28</v>
      </c>
      <c r="B57" s="30" t="s">
        <v>149</v>
      </c>
      <c r="C57" s="253" t="s">
        <v>364</v>
      </c>
      <c r="D57" s="198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0.0158</v>
      </c>
      <c r="J57" s="94">
        <f t="shared" si="12"/>
        <v>0.0205</v>
      </c>
      <c r="K57" s="94">
        <f t="shared" si="12"/>
        <v>0.0243</v>
      </c>
      <c r="L57" s="94">
        <f t="shared" si="12"/>
        <v>0.0263</v>
      </c>
      <c r="M57" s="94">
        <f t="shared" si="12"/>
        <v>0.0234</v>
      </c>
      <c r="N57" s="94">
        <f t="shared" si="12"/>
        <v>0.0208</v>
      </c>
      <c r="O57" s="94">
        <f t="shared" si="12"/>
        <v>0.0238</v>
      </c>
      <c r="P57" s="94">
        <f t="shared" si="12"/>
        <v>0.0225</v>
      </c>
      <c r="Q57" s="94">
        <f t="shared" si="12"/>
        <v>0.0169</v>
      </c>
      <c r="R57" s="94">
        <f t="shared" si="12"/>
        <v>0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3" t="s">
        <v>28</v>
      </c>
      <c r="B58" s="78" t="s">
        <v>150</v>
      </c>
      <c r="C58" s="263" t="s">
        <v>366</v>
      </c>
      <c r="D58" s="266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0.0606</v>
      </c>
      <c r="J58" s="94">
        <f t="shared" si="13"/>
        <v>0.0454</v>
      </c>
      <c r="K58" s="94">
        <f t="shared" si="13"/>
        <v>0.0428</v>
      </c>
      <c r="L58" s="94">
        <f t="shared" si="13"/>
        <v>0.0459</v>
      </c>
      <c r="M58" s="94">
        <f t="shared" si="13"/>
        <v>0.0463</v>
      </c>
      <c r="N58" s="94">
        <f t="shared" si="13"/>
        <v>0.0439</v>
      </c>
      <c r="O58" s="94">
        <f t="shared" si="13"/>
        <v>0.0411</v>
      </c>
      <c r="P58" s="94">
        <f t="shared" si="13"/>
        <v>0.0411</v>
      </c>
      <c r="Q58" s="94">
        <f t="shared" si="13"/>
        <v>0.0411</v>
      </c>
      <c r="R58" s="94">
        <f t="shared" si="13"/>
        <v>0.0385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3" t="s">
        <v>28</v>
      </c>
      <c r="B59" s="30" t="s">
        <v>151</v>
      </c>
      <c r="C59" s="79" t="s">
        <v>368</v>
      </c>
      <c r="D59" s="198" t="s">
        <v>422</v>
      </c>
      <c r="E59" s="233" t="e">
        <f>'Zał.1_WPF_bazowy'!#REF!</f>
        <v>#REF!</v>
      </c>
      <c r="F59" s="234" t="e">
        <f>'Zał.1_WPF_bazowy'!#REF!</f>
        <v>#REF!</v>
      </c>
      <c r="G59" s="234" t="e">
        <f>'Zał.1_WPF_bazowy'!#REF!</f>
        <v>#REF!</v>
      </c>
      <c r="H59" s="235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0.0496</v>
      </c>
      <c r="M59" s="94">
        <f t="shared" si="14"/>
        <v>0.0447</v>
      </c>
      <c r="N59" s="94">
        <f t="shared" si="14"/>
        <v>0.045000000000000005</v>
      </c>
      <c r="O59" s="94">
        <f t="shared" si="14"/>
        <v>0.045366666666666666</v>
      </c>
      <c r="P59" s="94">
        <f t="shared" si="14"/>
        <v>0.04376666666666667</v>
      </c>
      <c r="Q59" s="94">
        <f t="shared" si="14"/>
        <v>0.04203333333333333</v>
      </c>
      <c r="R59" s="94">
        <f t="shared" si="14"/>
        <v>0.0411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3" t="s">
        <v>28</v>
      </c>
      <c r="B60" s="30" t="s">
        <v>79</v>
      </c>
      <c r="C60" s="79" t="s">
        <v>368</v>
      </c>
      <c r="D60" s="199" t="s">
        <v>423</v>
      </c>
      <c r="E60" s="233" t="e">
        <f>'Zał.1_WPF_bazowy'!#REF!</f>
        <v>#REF!</v>
      </c>
      <c r="F60" s="234" t="e">
        <f>'Zał.1_WPF_bazowy'!#REF!</f>
        <v>#REF!</v>
      </c>
      <c r="G60" s="234" t="e">
        <f>'Zał.1_WPF_bazowy'!#REF!</f>
        <v>#REF!</v>
      </c>
      <c r="H60" s="235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0.0496</v>
      </c>
      <c r="M60" s="94">
        <f t="shared" si="15"/>
        <v>0.0447</v>
      </c>
      <c r="N60" s="94">
        <f t="shared" si="15"/>
        <v>0.045</v>
      </c>
      <c r="O60" s="94">
        <f t="shared" si="15"/>
        <v>0.0454</v>
      </c>
      <c r="P60" s="94">
        <f t="shared" si="15"/>
        <v>0.0438</v>
      </c>
      <c r="Q60" s="94">
        <f t="shared" si="15"/>
        <v>0.042</v>
      </c>
      <c r="R60" s="94">
        <f t="shared" si="15"/>
        <v>0.0411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3" t="s">
        <v>28</v>
      </c>
      <c r="B61" s="30" t="s">
        <v>152</v>
      </c>
      <c r="C61" s="79" t="s">
        <v>371</v>
      </c>
      <c r="D61" s="198" t="s">
        <v>450</v>
      </c>
      <c r="E61" s="233" t="e">
        <f>'Zał.1_WPF_bazowy'!#REF!</f>
        <v>#REF!</v>
      </c>
      <c r="F61" s="234" t="e">
        <f>'Zał.1_WPF_bazowy'!#REF!</f>
        <v>#REF!</v>
      </c>
      <c r="G61" s="234" t="e">
        <f>'Zał.1_WPF_bazowy'!#REF!</f>
        <v>#REF!</v>
      </c>
      <c r="H61" s="235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str">
        <f t="shared" si="16"/>
        <v>Spełniona</v>
      </c>
      <c r="R61" s="99" t="str">
        <f t="shared" si="16"/>
        <v>Spełniona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3" t="s">
        <v>28</v>
      </c>
      <c r="B62" s="30" t="s">
        <v>80</v>
      </c>
      <c r="C62" s="79" t="s">
        <v>373</v>
      </c>
      <c r="D62" s="199" t="s">
        <v>424</v>
      </c>
      <c r="E62" s="233" t="e">
        <f>'Zał.1_WPF_bazowy'!#REF!</f>
        <v>#REF!</v>
      </c>
      <c r="F62" s="234" t="e">
        <f>'Zał.1_WPF_bazowy'!#REF!</f>
        <v>#REF!</v>
      </c>
      <c r="G62" s="234" t="e">
        <f>'Zał.1_WPF_bazowy'!#REF!</f>
        <v>#REF!</v>
      </c>
      <c r="H62" s="235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str">
        <f t="shared" si="17"/>
        <v>Spełniona</v>
      </c>
      <c r="R62" s="99" t="str">
        <f t="shared" si="17"/>
        <v>Spełniona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3"/>
      <c r="B63" s="29">
        <v>10</v>
      </c>
      <c r="C63" s="260"/>
      <c r="D63" s="197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59" t="e">
        <f>'Zał.1_WPF_bazowy'!#REF!</f>
        <v>#REF!</v>
      </c>
      <c r="I63" s="163">
        <f>+'Zał.1_WPF_bazowy'!E63</f>
        <v>0</v>
      </c>
      <c r="J63" s="164">
        <f>+'Zał.1_WPF_bazowy'!F63</f>
        <v>0</v>
      </c>
      <c r="K63" s="164">
        <f>+'Zał.1_WPF_bazowy'!G63</f>
        <v>2896023</v>
      </c>
      <c r="L63" s="164">
        <f>+'Zał.1_WPF_bazowy'!H63</f>
        <v>556076</v>
      </c>
      <c r="M63" s="164">
        <f>+'Zał.1_WPF_bazowy'!I63</f>
        <v>537000</v>
      </c>
      <c r="N63" s="164">
        <f>+'Zał.1_WPF_bazowy'!J63</f>
        <v>500000</v>
      </c>
      <c r="O63" s="164">
        <f>+'Zał.1_WPF_bazowy'!K63</f>
        <v>700000</v>
      </c>
      <c r="P63" s="164">
        <f>+'Zał.1_WPF_bazowy'!L63</f>
        <v>700000</v>
      </c>
      <c r="Q63" s="164">
        <f>+'Zał.1_WPF_bazowy'!M63</f>
        <v>556457</v>
      </c>
      <c r="R63" s="164">
        <f>+'Zał.1_WPF_bazowy'!N63</f>
        <v>0</v>
      </c>
      <c r="S63" s="164" t="e">
        <f>+'Zał.1_WPF_bazowy'!#REF!</f>
        <v>#REF!</v>
      </c>
      <c r="T63" s="164" t="e">
        <f>+'Zał.1_WPF_bazowy'!#REF!</f>
        <v>#REF!</v>
      </c>
      <c r="U63" s="164" t="e">
        <f>+'Zał.1_WPF_bazowy'!#REF!</f>
        <v>#REF!</v>
      </c>
      <c r="V63" s="164" t="e">
        <f>+'Zał.1_WPF_bazowy'!#REF!</f>
        <v>#REF!</v>
      </c>
      <c r="W63" s="164" t="e">
        <f>+'Zał.1_WPF_bazowy'!#REF!</f>
        <v>#REF!</v>
      </c>
      <c r="X63" s="164" t="e">
        <f>+'Zał.1_WPF_bazowy'!#REF!</f>
        <v>#REF!</v>
      </c>
      <c r="Y63" s="164" t="e">
        <f>+'Zał.1_WPF_bazowy'!#REF!</f>
        <v>#REF!</v>
      </c>
      <c r="Z63" s="164" t="e">
        <f>+'Zał.1_WPF_bazowy'!#REF!</f>
        <v>#REF!</v>
      </c>
      <c r="AA63" s="164" t="e">
        <f>+'Zał.1_WPF_bazowy'!#REF!</f>
        <v>#REF!</v>
      </c>
      <c r="AB63" s="164" t="e">
        <f>+'Zał.1_WPF_bazowy'!#REF!</f>
        <v>#REF!</v>
      </c>
      <c r="AC63" s="164" t="e">
        <f>+'Zał.1_WPF_bazowy'!#REF!</f>
        <v>#REF!</v>
      </c>
      <c r="AD63" s="164" t="e">
        <f>+'Zał.1_WPF_bazowy'!#REF!</f>
        <v>#REF!</v>
      </c>
      <c r="AE63" s="164" t="e">
        <f>+'Zał.1_WPF_bazowy'!#REF!</f>
        <v>#REF!</v>
      </c>
      <c r="AF63" s="164" t="e">
        <f>+'Zał.1_WPF_bazowy'!#REF!</f>
        <v>#REF!</v>
      </c>
      <c r="AG63" s="164" t="e">
        <f>+'Zał.1_WPF_bazowy'!#REF!</f>
        <v>#REF!</v>
      </c>
      <c r="AH63" s="164" t="e">
        <f>+'Zał.1_WPF_bazowy'!#REF!</f>
        <v>#REF!</v>
      </c>
      <c r="AI63" s="164" t="e">
        <f>+'Zał.1_WPF_bazowy'!#REF!</f>
        <v>#REF!</v>
      </c>
      <c r="AJ63" s="164" t="e">
        <f>+'Zał.1_WPF_bazowy'!#REF!</f>
        <v>#REF!</v>
      </c>
      <c r="AK63" s="164" t="e">
        <f>+'Zał.1_WPF_bazowy'!#REF!</f>
        <v>#REF!</v>
      </c>
      <c r="AL63" s="165" t="e">
        <f>+'Zał.1_WPF_bazowy'!#REF!</f>
        <v>#REF!</v>
      </c>
    </row>
    <row r="64" spans="1:253" s="70" customFormat="1" ht="14.25" outlineLevel="2">
      <c r="A64" s="243"/>
      <c r="B64" s="30" t="s">
        <v>153</v>
      </c>
      <c r="C64" s="79"/>
      <c r="D64" s="198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5" t="e">
        <f>'Zał.1_WPF_bazowy'!#REF!</f>
        <v>#REF!</v>
      </c>
      <c r="I64" s="156">
        <f>+'Zał.1_WPF_bazowy'!E64</f>
        <v>0</v>
      </c>
      <c r="J64" s="157">
        <f>+'Zał.1_WPF_bazowy'!F64</f>
        <v>0</v>
      </c>
      <c r="K64" s="157">
        <f>+'Zał.1_WPF_bazowy'!G64</f>
        <v>2896023</v>
      </c>
      <c r="L64" s="157">
        <f>+'Zał.1_WPF_bazowy'!H64</f>
        <v>556076</v>
      </c>
      <c r="M64" s="157">
        <f>+'Zał.1_WPF_bazowy'!I64</f>
        <v>537000</v>
      </c>
      <c r="N64" s="157">
        <f>+'Zał.1_WPF_bazowy'!J64</f>
        <v>500000</v>
      </c>
      <c r="O64" s="157">
        <f>+'Zał.1_WPF_bazowy'!K64</f>
        <v>700000</v>
      </c>
      <c r="P64" s="157">
        <f>+'Zał.1_WPF_bazowy'!L64</f>
        <v>700000</v>
      </c>
      <c r="Q64" s="157">
        <f>+'Zał.1_WPF_bazowy'!M64</f>
        <v>556457</v>
      </c>
      <c r="R64" s="157">
        <f>+'Zał.1_WPF_bazowy'!N64</f>
        <v>0</v>
      </c>
      <c r="S64" s="157" t="e">
        <f>+'Zał.1_WPF_bazowy'!#REF!</f>
        <v>#REF!</v>
      </c>
      <c r="T64" s="157" t="e">
        <f>+'Zał.1_WPF_bazowy'!#REF!</f>
        <v>#REF!</v>
      </c>
      <c r="U64" s="157" t="e">
        <f>+'Zał.1_WPF_bazowy'!#REF!</f>
        <v>#REF!</v>
      </c>
      <c r="V64" s="157" t="e">
        <f>+'Zał.1_WPF_bazowy'!#REF!</f>
        <v>#REF!</v>
      </c>
      <c r="W64" s="157" t="e">
        <f>+'Zał.1_WPF_bazowy'!#REF!</f>
        <v>#REF!</v>
      </c>
      <c r="X64" s="157" t="e">
        <f>+'Zał.1_WPF_bazowy'!#REF!</f>
        <v>#REF!</v>
      </c>
      <c r="Y64" s="157" t="e">
        <f>+'Zał.1_WPF_bazowy'!#REF!</f>
        <v>#REF!</v>
      </c>
      <c r="Z64" s="157" t="e">
        <f>+'Zał.1_WPF_bazowy'!#REF!</f>
        <v>#REF!</v>
      </c>
      <c r="AA64" s="157" t="e">
        <f>+'Zał.1_WPF_bazowy'!#REF!</f>
        <v>#REF!</v>
      </c>
      <c r="AB64" s="157" t="e">
        <f>+'Zał.1_WPF_bazowy'!#REF!</f>
        <v>#REF!</v>
      </c>
      <c r="AC64" s="157" t="e">
        <f>+'Zał.1_WPF_bazowy'!#REF!</f>
        <v>#REF!</v>
      </c>
      <c r="AD64" s="157" t="e">
        <f>+'Zał.1_WPF_bazowy'!#REF!</f>
        <v>#REF!</v>
      </c>
      <c r="AE64" s="157" t="e">
        <f>+'Zał.1_WPF_bazowy'!#REF!</f>
        <v>#REF!</v>
      </c>
      <c r="AF64" s="157" t="e">
        <f>+'Zał.1_WPF_bazowy'!#REF!</f>
        <v>#REF!</v>
      </c>
      <c r="AG64" s="157" t="e">
        <f>+'Zał.1_WPF_bazowy'!#REF!</f>
        <v>#REF!</v>
      </c>
      <c r="AH64" s="157" t="e">
        <f>+'Zał.1_WPF_bazowy'!#REF!</f>
        <v>#REF!</v>
      </c>
      <c r="AI64" s="157" t="e">
        <f>+'Zał.1_WPF_bazowy'!#REF!</f>
        <v>#REF!</v>
      </c>
      <c r="AJ64" s="157" t="e">
        <f>+'Zał.1_WPF_bazowy'!#REF!</f>
        <v>#REF!</v>
      </c>
      <c r="AK64" s="157" t="e">
        <f>+'Zał.1_WPF_bazowy'!#REF!</f>
        <v>#REF!</v>
      </c>
      <c r="AL64" s="158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3"/>
      <c r="B65" s="29">
        <v>11</v>
      </c>
      <c r="C65" s="260"/>
      <c r="D65" s="197" t="s">
        <v>83</v>
      </c>
      <c r="E65" s="133" t="s">
        <v>28</v>
      </c>
      <c r="F65" s="134" t="s">
        <v>28</v>
      </c>
      <c r="G65" s="134" t="s">
        <v>28</v>
      </c>
      <c r="H65" s="166" t="s">
        <v>28</v>
      </c>
      <c r="I65" s="167" t="s">
        <v>28</v>
      </c>
      <c r="J65" s="168" t="s">
        <v>28</v>
      </c>
      <c r="K65" s="168" t="s">
        <v>28</v>
      </c>
      <c r="L65" s="168" t="s">
        <v>28</v>
      </c>
      <c r="M65" s="168" t="s">
        <v>28</v>
      </c>
      <c r="N65" s="168" t="s">
        <v>28</v>
      </c>
      <c r="O65" s="168" t="s">
        <v>28</v>
      </c>
      <c r="P65" s="168" t="s">
        <v>28</v>
      </c>
      <c r="Q65" s="168" t="s">
        <v>28</v>
      </c>
      <c r="R65" s="168" t="s">
        <v>28</v>
      </c>
      <c r="S65" s="168" t="s">
        <v>28</v>
      </c>
      <c r="T65" s="168" t="s">
        <v>28</v>
      </c>
      <c r="U65" s="168" t="s">
        <v>28</v>
      </c>
      <c r="V65" s="168" t="s">
        <v>28</v>
      </c>
      <c r="W65" s="168" t="s">
        <v>28</v>
      </c>
      <c r="X65" s="168" t="s">
        <v>28</v>
      </c>
      <c r="Y65" s="168" t="s">
        <v>28</v>
      </c>
      <c r="Z65" s="168" t="s">
        <v>28</v>
      </c>
      <c r="AA65" s="168" t="s">
        <v>28</v>
      </c>
      <c r="AB65" s="168" t="s">
        <v>28</v>
      </c>
      <c r="AC65" s="168" t="s">
        <v>28</v>
      </c>
      <c r="AD65" s="168" t="s">
        <v>28</v>
      </c>
      <c r="AE65" s="168" t="s">
        <v>28</v>
      </c>
      <c r="AF65" s="168" t="s">
        <v>28</v>
      </c>
      <c r="AG65" s="168" t="s">
        <v>28</v>
      </c>
      <c r="AH65" s="168" t="s">
        <v>28</v>
      </c>
      <c r="AI65" s="168" t="s">
        <v>28</v>
      </c>
      <c r="AJ65" s="168" t="s">
        <v>28</v>
      </c>
      <c r="AK65" s="168" t="s">
        <v>28</v>
      </c>
      <c r="AL65" s="169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3"/>
      <c r="B66" s="30" t="s">
        <v>154</v>
      </c>
      <c r="C66" s="79"/>
      <c r="D66" s="198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5" t="e">
        <f>'Zał.1_WPF_bazowy'!#REF!</f>
        <v>#REF!</v>
      </c>
      <c r="I66" s="156">
        <f>+'Zał.1_WPF_bazowy'!E66</f>
        <v>13314225.92</v>
      </c>
      <c r="J66" s="157">
        <f>+'Zał.1_WPF_bazowy'!F66</f>
        <v>13200000</v>
      </c>
      <c r="K66" s="157">
        <f>+'Zał.1_WPF_bazowy'!G66</f>
        <v>13300000</v>
      </c>
      <c r="L66" s="157">
        <f>+'Zał.1_WPF_bazowy'!H66</f>
        <v>13400000</v>
      </c>
      <c r="M66" s="157">
        <f>+'Zał.1_WPF_bazowy'!I66</f>
        <v>13500000</v>
      </c>
      <c r="N66" s="157">
        <f>+'Zał.1_WPF_bazowy'!J66</f>
        <v>13600000</v>
      </c>
      <c r="O66" s="157">
        <f>+'Zał.1_WPF_bazowy'!K66</f>
        <v>13700000</v>
      </c>
      <c r="P66" s="157">
        <f>+'Zał.1_WPF_bazowy'!L66</f>
        <v>13700000</v>
      </c>
      <c r="Q66" s="157">
        <f>+'Zał.1_WPF_bazowy'!M66</f>
        <v>13700000</v>
      </c>
      <c r="R66" s="157">
        <f>+'Zał.1_WPF_bazowy'!N66</f>
        <v>13700000</v>
      </c>
      <c r="S66" s="157" t="e">
        <f>+'Zał.1_WPF_bazowy'!#REF!</f>
        <v>#REF!</v>
      </c>
      <c r="T66" s="157" t="e">
        <f>+'Zał.1_WPF_bazowy'!#REF!</f>
        <v>#REF!</v>
      </c>
      <c r="U66" s="157" t="e">
        <f>+'Zał.1_WPF_bazowy'!#REF!</f>
        <v>#REF!</v>
      </c>
      <c r="V66" s="157" t="e">
        <f>+'Zał.1_WPF_bazowy'!#REF!</f>
        <v>#REF!</v>
      </c>
      <c r="W66" s="157" t="e">
        <f>+'Zał.1_WPF_bazowy'!#REF!</f>
        <v>#REF!</v>
      </c>
      <c r="X66" s="157" t="e">
        <f>+'Zał.1_WPF_bazowy'!#REF!</f>
        <v>#REF!</v>
      </c>
      <c r="Y66" s="157" t="e">
        <f>+'Zał.1_WPF_bazowy'!#REF!</f>
        <v>#REF!</v>
      </c>
      <c r="Z66" s="157" t="e">
        <f>+'Zał.1_WPF_bazowy'!#REF!</f>
        <v>#REF!</v>
      </c>
      <c r="AA66" s="157" t="e">
        <f>+'Zał.1_WPF_bazowy'!#REF!</f>
        <v>#REF!</v>
      </c>
      <c r="AB66" s="157" t="e">
        <f>+'Zał.1_WPF_bazowy'!#REF!</f>
        <v>#REF!</v>
      </c>
      <c r="AC66" s="157" t="e">
        <f>+'Zał.1_WPF_bazowy'!#REF!</f>
        <v>#REF!</v>
      </c>
      <c r="AD66" s="157" t="e">
        <f>+'Zał.1_WPF_bazowy'!#REF!</f>
        <v>#REF!</v>
      </c>
      <c r="AE66" s="157" t="e">
        <f>+'Zał.1_WPF_bazowy'!#REF!</f>
        <v>#REF!</v>
      </c>
      <c r="AF66" s="157" t="e">
        <f>+'Zał.1_WPF_bazowy'!#REF!</f>
        <v>#REF!</v>
      </c>
      <c r="AG66" s="157" t="e">
        <f>+'Zał.1_WPF_bazowy'!#REF!</f>
        <v>#REF!</v>
      </c>
      <c r="AH66" s="157" t="e">
        <f>+'Zał.1_WPF_bazowy'!#REF!</f>
        <v>#REF!</v>
      </c>
      <c r="AI66" s="157" t="e">
        <f>+'Zał.1_WPF_bazowy'!#REF!</f>
        <v>#REF!</v>
      </c>
      <c r="AJ66" s="157" t="e">
        <f>+'Zał.1_WPF_bazowy'!#REF!</f>
        <v>#REF!</v>
      </c>
      <c r="AK66" s="157" t="e">
        <f>+'Zał.1_WPF_bazowy'!#REF!</f>
        <v>#REF!</v>
      </c>
      <c r="AL66" s="158" t="e">
        <f>+'Zał.1_WPF_bazowy'!#REF!</f>
        <v>#REF!</v>
      </c>
    </row>
    <row r="67" spans="1:38" ht="14.25" outlineLevel="2">
      <c r="A67" s="243"/>
      <c r="B67" s="30" t="s">
        <v>155</v>
      </c>
      <c r="C67" s="79"/>
      <c r="D67" s="198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5" t="e">
        <f>'Zał.1_WPF_bazowy'!#REF!</f>
        <v>#REF!</v>
      </c>
      <c r="I67" s="156">
        <f>+'Zał.1_WPF_bazowy'!E67</f>
        <v>3631363</v>
      </c>
      <c r="J67" s="157">
        <f>+'Zał.1_WPF_bazowy'!F67</f>
        <v>3510000</v>
      </c>
      <c r="K67" s="157">
        <f>+'Zał.1_WPF_bazowy'!G67</f>
        <v>3520000</v>
      </c>
      <c r="L67" s="157">
        <f>+'Zał.1_WPF_bazowy'!H67</f>
        <v>3530000</v>
      </c>
      <c r="M67" s="157">
        <f>+'Zał.1_WPF_bazowy'!I67</f>
        <v>3540000</v>
      </c>
      <c r="N67" s="157">
        <f>+'Zał.1_WPF_bazowy'!J67</f>
        <v>3550000</v>
      </c>
      <c r="O67" s="157">
        <f>+'Zał.1_WPF_bazowy'!K67</f>
        <v>3560000</v>
      </c>
      <c r="P67" s="157">
        <f>+'Zał.1_WPF_bazowy'!L67</f>
        <v>3560000</v>
      </c>
      <c r="Q67" s="157">
        <f>+'Zał.1_WPF_bazowy'!M67</f>
        <v>3560000</v>
      </c>
      <c r="R67" s="157">
        <f>+'Zał.1_WPF_bazowy'!N67</f>
        <v>3560000</v>
      </c>
      <c r="S67" s="157" t="e">
        <f>+'Zał.1_WPF_bazowy'!#REF!</f>
        <v>#REF!</v>
      </c>
      <c r="T67" s="157" t="e">
        <f>+'Zał.1_WPF_bazowy'!#REF!</f>
        <v>#REF!</v>
      </c>
      <c r="U67" s="157" t="e">
        <f>+'Zał.1_WPF_bazowy'!#REF!</f>
        <v>#REF!</v>
      </c>
      <c r="V67" s="157" t="e">
        <f>+'Zał.1_WPF_bazowy'!#REF!</f>
        <v>#REF!</v>
      </c>
      <c r="W67" s="157" t="e">
        <f>+'Zał.1_WPF_bazowy'!#REF!</f>
        <v>#REF!</v>
      </c>
      <c r="X67" s="157" t="e">
        <f>+'Zał.1_WPF_bazowy'!#REF!</f>
        <v>#REF!</v>
      </c>
      <c r="Y67" s="157" t="e">
        <f>+'Zał.1_WPF_bazowy'!#REF!</f>
        <v>#REF!</v>
      </c>
      <c r="Z67" s="157" t="e">
        <f>+'Zał.1_WPF_bazowy'!#REF!</f>
        <v>#REF!</v>
      </c>
      <c r="AA67" s="157" t="e">
        <f>+'Zał.1_WPF_bazowy'!#REF!</f>
        <v>#REF!</v>
      </c>
      <c r="AB67" s="157" t="e">
        <f>+'Zał.1_WPF_bazowy'!#REF!</f>
        <v>#REF!</v>
      </c>
      <c r="AC67" s="157" t="e">
        <f>+'Zał.1_WPF_bazowy'!#REF!</f>
        <v>#REF!</v>
      </c>
      <c r="AD67" s="157" t="e">
        <f>+'Zał.1_WPF_bazowy'!#REF!</f>
        <v>#REF!</v>
      </c>
      <c r="AE67" s="157" t="e">
        <f>+'Zał.1_WPF_bazowy'!#REF!</f>
        <v>#REF!</v>
      </c>
      <c r="AF67" s="157" t="e">
        <f>+'Zał.1_WPF_bazowy'!#REF!</f>
        <v>#REF!</v>
      </c>
      <c r="AG67" s="157" t="e">
        <f>+'Zał.1_WPF_bazowy'!#REF!</f>
        <v>#REF!</v>
      </c>
      <c r="AH67" s="157" t="e">
        <f>+'Zał.1_WPF_bazowy'!#REF!</f>
        <v>#REF!</v>
      </c>
      <c r="AI67" s="157" t="e">
        <f>+'Zał.1_WPF_bazowy'!#REF!</f>
        <v>#REF!</v>
      </c>
      <c r="AJ67" s="157" t="e">
        <f>+'Zał.1_WPF_bazowy'!#REF!</f>
        <v>#REF!</v>
      </c>
      <c r="AK67" s="157" t="e">
        <f>+'Zał.1_WPF_bazowy'!#REF!</f>
        <v>#REF!</v>
      </c>
      <c r="AL67" s="158" t="e">
        <f>+'Zał.1_WPF_bazowy'!#REF!</f>
        <v>#REF!</v>
      </c>
    </row>
    <row r="68" spans="1:38" ht="14.25" outlineLevel="2">
      <c r="A68" s="243"/>
      <c r="B68" s="30" t="s">
        <v>156</v>
      </c>
      <c r="C68" s="79" t="s">
        <v>375</v>
      </c>
      <c r="D68" s="198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5524534</v>
      </c>
      <c r="J68" s="97">
        <f aca="true" t="shared" si="18" ref="J68:AL68">+J69+J70</f>
        <v>4649405.25</v>
      </c>
      <c r="K68" s="97">
        <f t="shared" si="18"/>
        <v>1375</v>
      </c>
      <c r="L68" s="97">
        <f t="shared" si="18"/>
        <v>1375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>
        <f t="shared" si="18"/>
        <v>0</v>
      </c>
      <c r="R68" s="97">
        <f t="shared" si="18"/>
        <v>0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3"/>
      <c r="B69" s="30" t="s">
        <v>86</v>
      </c>
      <c r="C69" s="79"/>
      <c r="D69" s="199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5" t="e">
        <f>'Zał.1_WPF_bazowy'!#REF!</f>
        <v>#REF!</v>
      </c>
      <c r="I69" s="156">
        <f>+'Zał.1_WPF_bazowy'!E69</f>
        <v>348864</v>
      </c>
      <c r="J69" s="157">
        <f>+'Zał.1_WPF_bazowy'!F69</f>
        <v>95572.25</v>
      </c>
      <c r="K69" s="157">
        <f>+'Zał.1_WPF_bazowy'!G69</f>
        <v>1375</v>
      </c>
      <c r="L69" s="157">
        <f>+'Zał.1_WPF_bazowy'!H69</f>
        <v>1375</v>
      </c>
      <c r="M69" s="157">
        <f>+'Zał.1_WPF_bazowy'!I69</f>
        <v>0</v>
      </c>
      <c r="N69" s="157">
        <f>+'Zał.1_WPF_bazowy'!J69</f>
        <v>0</v>
      </c>
      <c r="O69" s="157">
        <f>+'Zał.1_WPF_bazowy'!K69</f>
        <v>0</v>
      </c>
      <c r="P69" s="157">
        <f>+'Zał.1_WPF_bazowy'!L69</f>
        <v>0</v>
      </c>
      <c r="Q69" s="157">
        <f>+'Zał.1_WPF_bazowy'!M69</f>
        <v>0</v>
      </c>
      <c r="R69" s="157">
        <f>+'Zał.1_WPF_bazowy'!N69</f>
        <v>0</v>
      </c>
      <c r="S69" s="157" t="e">
        <f>+'Zał.1_WPF_bazowy'!#REF!</f>
        <v>#REF!</v>
      </c>
      <c r="T69" s="157" t="e">
        <f>+'Zał.1_WPF_bazowy'!#REF!</f>
        <v>#REF!</v>
      </c>
      <c r="U69" s="157" t="e">
        <f>+'Zał.1_WPF_bazowy'!#REF!</f>
        <v>#REF!</v>
      </c>
      <c r="V69" s="157" t="e">
        <f>+'Zał.1_WPF_bazowy'!#REF!</f>
        <v>#REF!</v>
      </c>
      <c r="W69" s="157" t="e">
        <f>+'Zał.1_WPF_bazowy'!#REF!</f>
        <v>#REF!</v>
      </c>
      <c r="X69" s="157" t="e">
        <f>+'Zał.1_WPF_bazowy'!#REF!</f>
        <v>#REF!</v>
      </c>
      <c r="Y69" s="157" t="e">
        <f>+'Zał.1_WPF_bazowy'!#REF!</f>
        <v>#REF!</v>
      </c>
      <c r="Z69" s="157" t="e">
        <f>+'Zał.1_WPF_bazowy'!#REF!</f>
        <v>#REF!</v>
      </c>
      <c r="AA69" s="157" t="e">
        <f>+'Zał.1_WPF_bazowy'!#REF!</f>
        <v>#REF!</v>
      </c>
      <c r="AB69" s="157" t="e">
        <f>+'Zał.1_WPF_bazowy'!#REF!</f>
        <v>#REF!</v>
      </c>
      <c r="AC69" s="157" t="e">
        <f>+'Zał.1_WPF_bazowy'!#REF!</f>
        <v>#REF!</v>
      </c>
      <c r="AD69" s="157" t="e">
        <f>+'Zał.1_WPF_bazowy'!#REF!</f>
        <v>#REF!</v>
      </c>
      <c r="AE69" s="157" t="e">
        <f>+'Zał.1_WPF_bazowy'!#REF!</f>
        <v>#REF!</v>
      </c>
      <c r="AF69" s="157" t="e">
        <f>+'Zał.1_WPF_bazowy'!#REF!</f>
        <v>#REF!</v>
      </c>
      <c r="AG69" s="157" t="e">
        <f>+'Zał.1_WPF_bazowy'!#REF!</f>
        <v>#REF!</v>
      </c>
      <c r="AH69" s="157" t="e">
        <f>+'Zał.1_WPF_bazowy'!#REF!</f>
        <v>#REF!</v>
      </c>
      <c r="AI69" s="157" t="e">
        <f>+'Zał.1_WPF_bazowy'!#REF!</f>
        <v>#REF!</v>
      </c>
      <c r="AJ69" s="157" t="e">
        <f>+'Zał.1_WPF_bazowy'!#REF!</f>
        <v>#REF!</v>
      </c>
      <c r="AK69" s="157" t="e">
        <f>+'Zał.1_WPF_bazowy'!#REF!</f>
        <v>#REF!</v>
      </c>
      <c r="AL69" s="158" t="e">
        <f>+'Zał.1_WPF_bazowy'!#REF!</f>
        <v>#REF!</v>
      </c>
    </row>
    <row r="70" spans="1:38" ht="14.25" outlineLevel="2">
      <c r="A70" s="243"/>
      <c r="B70" s="30" t="s">
        <v>88</v>
      </c>
      <c r="C70" s="79"/>
      <c r="D70" s="199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5" t="e">
        <f>'Zał.1_WPF_bazowy'!#REF!</f>
        <v>#REF!</v>
      </c>
      <c r="I70" s="156">
        <f>+'Zał.1_WPF_bazowy'!E70</f>
        <v>5175670</v>
      </c>
      <c r="J70" s="157">
        <f>+'Zał.1_WPF_bazowy'!F70</f>
        <v>4553833</v>
      </c>
      <c r="K70" s="157">
        <f>+'Zał.1_WPF_bazowy'!G70</f>
        <v>0</v>
      </c>
      <c r="L70" s="157">
        <f>+'Zał.1_WPF_bazowy'!H70</f>
        <v>0</v>
      </c>
      <c r="M70" s="157">
        <f>+'Zał.1_WPF_bazowy'!I70</f>
        <v>0</v>
      </c>
      <c r="N70" s="157">
        <f>+'Zał.1_WPF_bazowy'!J70</f>
        <v>0</v>
      </c>
      <c r="O70" s="157">
        <f>+'Zał.1_WPF_bazowy'!K70</f>
        <v>0</v>
      </c>
      <c r="P70" s="157">
        <f>+'Zał.1_WPF_bazowy'!L70</f>
        <v>0</v>
      </c>
      <c r="Q70" s="157">
        <f>+'Zał.1_WPF_bazowy'!M70</f>
        <v>0</v>
      </c>
      <c r="R70" s="157">
        <f>+'Zał.1_WPF_bazowy'!N70</f>
        <v>0</v>
      </c>
      <c r="S70" s="157" t="e">
        <f>+'Zał.1_WPF_bazowy'!#REF!</f>
        <v>#REF!</v>
      </c>
      <c r="T70" s="157" t="e">
        <f>+'Zał.1_WPF_bazowy'!#REF!</f>
        <v>#REF!</v>
      </c>
      <c r="U70" s="157" t="e">
        <f>+'Zał.1_WPF_bazowy'!#REF!</f>
        <v>#REF!</v>
      </c>
      <c r="V70" s="157" t="e">
        <f>+'Zał.1_WPF_bazowy'!#REF!</f>
        <v>#REF!</v>
      </c>
      <c r="W70" s="157" t="e">
        <f>+'Zał.1_WPF_bazowy'!#REF!</f>
        <v>#REF!</v>
      </c>
      <c r="X70" s="157" t="e">
        <f>+'Zał.1_WPF_bazowy'!#REF!</f>
        <v>#REF!</v>
      </c>
      <c r="Y70" s="157" t="e">
        <f>+'Zał.1_WPF_bazowy'!#REF!</f>
        <v>#REF!</v>
      </c>
      <c r="Z70" s="157" t="e">
        <f>+'Zał.1_WPF_bazowy'!#REF!</f>
        <v>#REF!</v>
      </c>
      <c r="AA70" s="157" t="e">
        <f>+'Zał.1_WPF_bazowy'!#REF!</f>
        <v>#REF!</v>
      </c>
      <c r="AB70" s="157" t="e">
        <f>+'Zał.1_WPF_bazowy'!#REF!</f>
        <v>#REF!</v>
      </c>
      <c r="AC70" s="157" t="e">
        <f>+'Zał.1_WPF_bazowy'!#REF!</f>
        <v>#REF!</v>
      </c>
      <c r="AD70" s="157" t="e">
        <f>+'Zał.1_WPF_bazowy'!#REF!</f>
        <v>#REF!</v>
      </c>
      <c r="AE70" s="157" t="e">
        <f>+'Zał.1_WPF_bazowy'!#REF!</f>
        <v>#REF!</v>
      </c>
      <c r="AF70" s="157" t="e">
        <f>+'Zał.1_WPF_bazowy'!#REF!</f>
        <v>#REF!</v>
      </c>
      <c r="AG70" s="157" t="e">
        <f>+'Zał.1_WPF_bazowy'!#REF!</f>
        <v>#REF!</v>
      </c>
      <c r="AH70" s="157" t="e">
        <f>+'Zał.1_WPF_bazowy'!#REF!</f>
        <v>#REF!</v>
      </c>
      <c r="AI70" s="157" t="e">
        <f>+'Zał.1_WPF_bazowy'!#REF!</f>
        <v>#REF!</v>
      </c>
      <c r="AJ70" s="157" t="e">
        <f>+'Zał.1_WPF_bazowy'!#REF!</f>
        <v>#REF!</v>
      </c>
      <c r="AK70" s="157" t="e">
        <f>+'Zał.1_WPF_bazowy'!#REF!</f>
        <v>#REF!</v>
      </c>
      <c r="AL70" s="158" t="e">
        <f>+'Zał.1_WPF_bazowy'!#REF!</f>
        <v>#REF!</v>
      </c>
    </row>
    <row r="71" spans="1:38" ht="14.25" outlineLevel="2">
      <c r="A71" s="243"/>
      <c r="B71" s="30" t="s">
        <v>157</v>
      </c>
      <c r="C71" s="79"/>
      <c r="D71" s="198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5" t="e">
        <f>'Zał.1_WPF_bazowy'!#REF!</f>
        <v>#REF!</v>
      </c>
      <c r="I71" s="156">
        <f>+'Zał.1_WPF_bazowy'!E71</f>
        <v>5188000</v>
      </c>
      <c r="J71" s="157">
        <f>+'Zał.1_WPF_bazowy'!F71</f>
        <v>1700000</v>
      </c>
      <c r="K71" s="157">
        <f>+'Zał.1_WPF_bazowy'!G71</f>
        <v>0</v>
      </c>
      <c r="L71" s="157">
        <f>+'Zał.1_WPF_bazowy'!H71</f>
        <v>0</v>
      </c>
      <c r="M71" s="157">
        <f>+'Zał.1_WPF_bazowy'!I71</f>
        <v>0</v>
      </c>
      <c r="N71" s="157">
        <f>+'Zał.1_WPF_bazowy'!J71</f>
        <v>0</v>
      </c>
      <c r="O71" s="157">
        <f>+'Zał.1_WPF_bazowy'!K71</f>
        <v>0</v>
      </c>
      <c r="P71" s="157">
        <f>+'Zał.1_WPF_bazowy'!L71</f>
        <v>0</v>
      </c>
      <c r="Q71" s="157">
        <f>+'Zał.1_WPF_bazowy'!M71</f>
        <v>0</v>
      </c>
      <c r="R71" s="157">
        <f>+'Zał.1_WPF_bazowy'!N71</f>
        <v>0</v>
      </c>
      <c r="S71" s="157" t="e">
        <f>+'Zał.1_WPF_bazowy'!#REF!</f>
        <v>#REF!</v>
      </c>
      <c r="T71" s="157" t="e">
        <f>+'Zał.1_WPF_bazowy'!#REF!</f>
        <v>#REF!</v>
      </c>
      <c r="U71" s="157" t="e">
        <f>+'Zał.1_WPF_bazowy'!#REF!</f>
        <v>#REF!</v>
      </c>
      <c r="V71" s="157" t="e">
        <f>+'Zał.1_WPF_bazowy'!#REF!</f>
        <v>#REF!</v>
      </c>
      <c r="W71" s="157" t="e">
        <f>+'Zał.1_WPF_bazowy'!#REF!</f>
        <v>#REF!</v>
      </c>
      <c r="X71" s="157" t="e">
        <f>+'Zał.1_WPF_bazowy'!#REF!</f>
        <v>#REF!</v>
      </c>
      <c r="Y71" s="157" t="e">
        <f>+'Zał.1_WPF_bazowy'!#REF!</f>
        <v>#REF!</v>
      </c>
      <c r="Z71" s="157" t="e">
        <f>+'Zał.1_WPF_bazowy'!#REF!</f>
        <v>#REF!</v>
      </c>
      <c r="AA71" s="157" t="e">
        <f>+'Zał.1_WPF_bazowy'!#REF!</f>
        <v>#REF!</v>
      </c>
      <c r="AB71" s="157" t="e">
        <f>+'Zał.1_WPF_bazowy'!#REF!</f>
        <v>#REF!</v>
      </c>
      <c r="AC71" s="157" t="e">
        <f>+'Zał.1_WPF_bazowy'!#REF!</f>
        <v>#REF!</v>
      </c>
      <c r="AD71" s="157" t="e">
        <f>+'Zał.1_WPF_bazowy'!#REF!</f>
        <v>#REF!</v>
      </c>
      <c r="AE71" s="157" t="e">
        <f>+'Zał.1_WPF_bazowy'!#REF!</f>
        <v>#REF!</v>
      </c>
      <c r="AF71" s="157" t="e">
        <f>+'Zał.1_WPF_bazowy'!#REF!</f>
        <v>#REF!</v>
      </c>
      <c r="AG71" s="157" t="e">
        <f>+'Zał.1_WPF_bazowy'!#REF!</f>
        <v>#REF!</v>
      </c>
      <c r="AH71" s="157" t="e">
        <f>+'Zał.1_WPF_bazowy'!#REF!</f>
        <v>#REF!</v>
      </c>
      <c r="AI71" s="157" t="e">
        <f>+'Zał.1_WPF_bazowy'!#REF!</f>
        <v>#REF!</v>
      </c>
      <c r="AJ71" s="157" t="e">
        <f>+'Zał.1_WPF_bazowy'!#REF!</f>
        <v>#REF!</v>
      </c>
      <c r="AK71" s="157" t="e">
        <f>+'Zał.1_WPF_bazowy'!#REF!</f>
        <v>#REF!</v>
      </c>
      <c r="AL71" s="158" t="e">
        <f>+'Zał.1_WPF_bazowy'!#REF!</f>
        <v>#REF!</v>
      </c>
    </row>
    <row r="72" spans="1:38" ht="14.25" outlineLevel="2">
      <c r="A72" s="243"/>
      <c r="B72" s="30" t="s">
        <v>158</v>
      </c>
      <c r="C72" s="79"/>
      <c r="D72" s="198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5" t="e">
        <f>'Zał.1_WPF_bazowy'!#REF!</f>
        <v>#REF!</v>
      </c>
      <c r="I72" s="156">
        <f>+'Zał.1_WPF_bazowy'!E72</f>
        <v>1284382.19</v>
      </c>
      <c r="J72" s="157">
        <f>+'Zał.1_WPF_bazowy'!F72</f>
        <v>0</v>
      </c>
      <c r="K72" s="157">
        <f>+'Zał.1_WPF_bazowy'!G72</f>
        <v>1150000</v>
      </c>
      <c r="L72" s="157">
        <f>+'Zał.1_WPF_bazowy'!H72</f>
        <v>1100000</v>
      </c>
      <c r="M72" s="157">
        <f>+'Zał.1_WPF_bazowy'!I72</f>
        <v>1150000</v>
      </c>
      <c r="N72" s="157">
        <f>+'Zał.1_WPF_bazowy'!J72</f>
        <v>1100000</v>
      </c>
      <c r="O72" s="157">
        <f>+'Zał.1_WPF_bazowy'!K72</f>
        <v>700000</v>
      </c>
      <c r="P72" s="157">
        <f>+'Zał.1_WPF_bazowy'!L72</f>
        <v>600000</v>
      </c>
      <c r="Q72" s="157">
        <f>+'Zał.1_WPF_bazowy'!M72</f>
        <v>400000</v>
      </c>
      <c r="R72" s="157">
        <f>+'Zał.1_WPF_bazowy'!N72</f>
        <v>0</v>
      </c>
      <c r="S72" s="157" t="e">
        <f>+'Zał.1_WPF_bazowy'!#REF!</f>
        <v>#REF!</v>
      </c>
      <c r="T72" s="157" t="e">
        <f>+'Zał.1_WPF_bazowy'!#REF!</f>
        <v>#REF!</v>
      </c>
      <c r="U72" s="157" t="e">
        <f>+'Zał.1_WPF_bazowy'!#REF!</f>
        <v>#REF!</v>
      </c>
      <c r="V72" s="157" t="e">
        <f>+'Zał.1_WPF_bazowy'!#REF!</f>
        <v>#REF!</v>
      </c>
      <c r="W72" s="157" t="e">
        <f>+'Zał.1_WPF_bazowy'!#REF!</f>
        <v>#REF!</v>
      </c>
      <c r="X72" s="157" t="e">
        <f>+'Zał.1_WPF_bazowy'!#REF!</f>
        <v>#REF!</v>
      </c>
      <c r="Y72" s="157" t="e">
        <f>+'Zał.1_WPF_bazowy'!#REF!</f>
        <v>#REF!</v>
      </c>
      <c r="Z72" s="157" t="e">
        <f>+'Zał.1_WPF_bazowy'!#REF!</f>
        <v>#REF!</v>
      </c>
      <c r="AA72" s="157" t="e">
        <f>+'Zał.1_WPF_bazowy'!#REF!</f>
        <v>#REF!</v>
      </c>
      <c r="AB72" s="157" t="e">
        <f>+'Zał.1_WPF_bazowy'!#REF!</f>
        <v>#REF!</v>
      </c>
      <c r="AC72" s="157" t="e">
        <f>+'Zał.1_WPF_bazowy'!#REF!</f>
        <v>#REF!</v>
      </c>
      <c r="AD72" s="157" t="e">
        <f>+'Zał.1_WPF_bazowy'!#REF!</f>
        <v>#REF!</v>
      </c>
      <c r="AE72" s="157" t="e">
        <f>+'Zał.1_WPF_bazowy'!#REF!</f>
        <v>#REF!</v>
      </c>
      <c r="AF72" s="157" t="e">
        <f>+'Zał.1_WPF_bazowy'!#REF!</f>
        <v>#REF!</v>
      </c>
      <c r="AG72" s="157" t="e">
        <f>+'Zał.1_WPF_bazowy'!#REF!</f>
        <v>#REF!</v>
      </c>
      <c r="AH72" s="157" t="e">
        <f>+'Zał.1_WPF_bazowy'!#REF!</f>
        <v>#REF!</v>
      </c>
      <c r="AI72" s="157" t="e">
        <f>+'Zał.1_WPF_bazowy'!#REF!</f>
        <v>#REF!</v>
      </c>
      <c r="AJ72" s="157" t="e">
        <f>+'Zał.1_WPF_bazowy'!#REF!</f>
        <v>#REF!</v>
      </c>
      <c r="AK72" s="157" t="e">
        <f>+'Zał.1_WPF_bazowy'!#REF!</f>
        <v>#REF!</v>
      </c>
      <c r="AL72" s="158" t="e">
        <f>+'Zał.1_WPF_bazowy'!#REF!</f>
        <v>#REF!</v>
      </c>
    </row>
    <row r="73" spans="1:38" ht="14.25" outlineLevel="2">
      <c r="A73" s="243"/>
      <c r="B73" s="30" t="s">
        <v>159</v>
      </c>
      <c r="C73" s="79"/>
      <c r="D73" s="198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5" t="e">
        <f>'Zał.1_WPF_bazowy'!#REF!</f>
        <v>#REF!</v>
      </c>
      <c r="I73" s="156">
        <f>+'Zał.1_WPF_bazowy'!E73</f>
        <v>103764</v>
      </c>
      <c r="J73" s="157">
        <f>+'Zał.1_WPF_bazowy'!F73</f>
        <v>38833</v>
      </c>
      <c r="K73" s="157">
        <f>+'Zał.1_WPF_bazowy'!G73</f>
        <v>0</v>
      </c>
      <c r="L73" s="157">
        <f>+'Zał.1_WPF_bazowy'!H73</f>
        <v>0</v>
      </c>
      <c r="M73" s="157">
        <f>+'Zał.1_WPF_bazowy'!I73</f>
        <v>0</v>
      </c>
      <c r="N73" s="157">
        <f>+'Zał.1_WPF_bazowy'!J73</f>
        <v>0</v>
      </c>
      <c r="O73" s="157">
        <f>+'Zał.1_WPF_bazowy'!K73</f>
        <v>0</v>
      </c>
      <c r="P73" s="157">
        <f>+'Zał.1_WPF_bazowy'!L73</f>
        <v>0</v>
      </c>
      <c r="Q73" s="157">
        <f>+'Zał.1_WPF_bazowy'!M73</f>
        <v>0</v>
      </c>
      <c r="R73" s="157">
        <f>+'Zał.1_WPF_bazowy'!N73</f>
        <v>0</v>
      </c>
      <c r="S73" s="157" t="e">
        <f>+'Zał.1_WPF_bazowy'!#REF!</f>
        <v>#REF!</v>
      </c>
      <c r="T73" s="157" t="e">
        <f>+'Zał.1_WPF_bazowy'!#REF!</f>
        <v>#REF!</v>
      </c>
      <c r="U73" s="157" t="e">
        <f>+'Zał.1_WPF_bazowy'!#REF!</f>
        <v>#REF!</v>
      </c>
      <c r="V73" s="157" t="e">
        <f>+'Zał.1_WPF_bazowy'!#REF!</f>
        <v>#REF!</v>
      </c>
      <c r="W73" s="157" t="e">
        <f>+'Zał.1_WPF_bazowy'!#REF!</f>
        <v>#REF!</v>
      </c>
      <c r="X73" s="157" t="e">
        <f>+'Zał.1_WPF_bazowy'!#REF!</f>
        <v>#REF!</v>
      </c>
      <c r="Y73" s="157" t="e">
        <f>+'Zał.1_WPF_bazowy'!#REF!</f>
        <v>#REF!</v>
      </c>
      <c r="Z73" s="157" t="e">
        <f>+'Zał.1_WPF_bazowy'!#REF!</f>
        <v>#REF!</v>
      </c>
      <c r="AA73" s="157" t="e">
        <f>+'Zał.1_WPF_bazowy'!#REF!</f>
        <v>#REF!</v>
      </c>
      <c r="AB73" s="157" t="e">
        <f>+'Zał.1_WPF_bazowy'!#REF!</f>
        <v>#REF!</v>
      </c>
      <c r="AC73" s="157" t="e">
        <f>+'Zał.1_WPF_bazowy'!#REF!</f>
        <v>#REF!</v>
      </c>
      <c r="AD73" s="157" t="e">
        <f>+'Zał.1_WPF_bazowy'!#REF!</f>
        <v>#REF!</v>
      </c>
      <c r="AE73" s="157" t="e">
        <f>+'Zał.1_WPF_bazowy'!#REF!</f>
        <v>#REF!</v>
      </c>
      <c r="AF73" s="157" t="e">
        <f>+'Zał.1_WPF_bazowy'!#REF!</f>
        <v>#REF!</v>
      </c>
      <c r="AG73" s="157" t="e">
        <f>+'Zał.1_WPF_bazowy'!#REF!</f>
        <v>#REF!</v>
      </c>
      <c r="AH73" s="157" t="e">
        <f>+'Zał.1_WPF_bazowy'!#REF!</f>
        <v>#REF!</v>
      </c>
      <c r="AI73" s="157" t="e">
        <f>+'Zał.1_WPF_bazowy'!#REF!</f>
        <v>#REF!</v>
      </c>
      <c r="AJ73" s="157" t="e">
        <f>+'Zał.1_WPF_bazowy'!#REF!</f>
        <v>#REF!</v>
      </c>
      <c r="AK73" s="157" t="e">
        <f>+'Zał.1_WPF_bazowy'!#REF!</f>
        <v>#REF!</v>
      </c>
      <c r="AL73" s="158" t="e">
        <f>+'Zał.1_WPF_bazowy'!#REF!</f>
        <v>#REF!</v>
      </c>
    </row>
    <row r="74" spans="1:38" s="77" customFormat="1" ht="24" outlineLevel="1">
      <c r="A74" s="243"/>
      <c r="B74" s="29">
        <v>12</v>
      </c>
      <c r="C74" s="260"/>
      <c r="D74" s="197" t="s">
        <v>93</v>
      </c>
      <c r="E74" s="133" t="s">
        <v>28</v>
      </c>
      <c r="F74" s="134" t="s">
        <v>28</v>
      </c>
      <c r="G74" s="134" t="s">
        <v>28</v>
      </c>
      <c r="H74" s="166" t="s">
        <v>28</v>
      </c>
      <c r="I74" s="167" t="s">
        <v>28</v>
      </c>
      <c r="J74" s="168" t="s">
        <v>28</v>
      </c>
      <c r="K74" s="168" t="s">
        <v>28</v>
      </c>
      <c r="L74" s="168" t="s">
        <v>28</v>
      </c>
      <c r="M74" s="168" t="s">
        <v>28</v>
      </c>
      <c r="N74" s="168" t="s">
        <v>28</v>
      </c>
      <c r="O74" s="168" t="s">
        <v>28</v>
      </c>
      <c r="P74" s="168" t="s">
        <v>28</v>
      </c>
      <c r="Q74" s="168" t="s">
        <v>28</v>
      </c>
      <c r="R74" s="168" t="s">
        <v>28</v>
      </c>
      <c r="S74" s="168" t="s">
        <v>28</v>
      </c>
      <c r="T74" s="168" t="s">
        <v>28</v>
      </c>
      <c r="U74" s="168" t="s">
        <v>28</v>
      </c>
      <c r="V74" s="168" t="s">
        <v>28</v>
      </c>
      <c r="W74" s="168" t="s">
        <v>28</v>
      </c>
      <c r="X74" s="168" t="s">
        <v>28</v>
      </c>
      <c r="Y74" s="168" t="s">
        <v>28</v>
      </c>
      <c r="Z74" s="168" t="s">
        <v>28</v>
      </c>
      <c r="AA74" s="168" t="s">
        <v>28</v>
      </c>
      <c r="AB74" s="168" t="s">
        <v>28</v>
      </c>
      <c r="AC74" s="168" t="s">
        <v>28</v>
      </c>
      <c r="AD74" s="168" t="s">
        <v>28</v>
      </c>
      <c r="AE74" s="168" t="s">
        <v>28</v>
      </c>
      <c r="AF74" s="168" t="s">
        <v>28</v>
      </c>
      <c r="AG74" s="168" t="s">
        <v>28</v>
      </c>
      <c r="AH74" s="168" t="s">
        <v>28</v>
      </c>
      <c r="AI74" s="168" t="s">
        <v>28</v>
      </c>
      <c r="AJ74" s="168" t="s">
        <v>28</v>
      </c>
      <c r="AK74" s="168" t="s">
        <v>28</v>
      </c>
      <c r="AL74" s="169" t="s">
        <v>28</v>
      </c>
    </row>
    <row r="75" spans="1:38" ht="24" outlineLevel="2">
      <c r="A75" s="243"/>
      <c r="B75" s="30" t="s">
        <v>160</v>
      </c>
      <c r="C75" s="79"/>
      <c r="D75" s="198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5" t="e">
        <f>'Zał.1_WPF_bazowy'!#REF!</f>
        <v>#REF!</v>
      </c>
      <c r="I75" s="156">
        <f>+'Zał.1_WPF_bazowy'!E75</f>
        <v>141812.43</v>
      </c>
      <c r="J75" s="157">
        <f>+'Zał.1_WPF_bazowy'!F75</f>
        <v>0</v>
      </c>
      <c r="K75" s="157">
        <f>+'Zał.1_WPF_bazowy'!G75</f>
        <v>0</v>
      </c>
      <c r="L75" s="157">
        <f>+'Zał.1_WPF_bazowy'!H75</f>
        <v>0</v>
      </c>
      <c r="M75" s="157">
        <f>+'Zał.1_WPF_bazowy'!I75</f>
        <v>0</v>
      </c>
      <c r="N75" s="157">
        <f>+'Zał.1_WPF_bazowy'!J75</f>
        <v>0</v>
      </c>
      <c r="O75" s="157">
        <f>+'Zał.1_WPF_bazowy'!K75</f>
        <v>0</v>
      </c>
      <c r="P75" s="157">
        <f>+'Zał.1_WPF_bazowy'!L75</f>
        <v>0</v>
      </c>
      <c r="Q75" s="157">
        <f>+'Zał.1_WPF_bazowy'!M75</f>
        <v>0</v>
      </c>
      <c r="R75" s="157">
        <f>+'Zał.1_WPF_bazowy'!N75</f>
        <v>0</v>
      </c>
      <c r="S75" s="157" t="e">
        <f>+'Zał.1_WPF_bazowy'!#REF!</f>
        <v>#REF!</v>
      </c>
      <c r="T75" s="157" t="e">
        <f>+'Zał.1_WPF_bazowy'!#REF!</f>
        <v>#REF!</v>
      </c>
      <c r="U75" s="157" t="e">
        <f>+'Zał.1_WPF_bazowy'!#REF!</f>
        <v>#REF!</v>
      </c>
      <c r="V75" s="157" t="e">
        <f>+'Zał.1_WPF_bazowy'!#REF!</f>
        <v>#REF!</v>
      </c>
      <c r="W75" s="157" t="e">
        <f>+'Zał.1_WPF_bazowy'!#REF!</f>
        <v>#REF!</v>
      </c>
      <c r="X75" s="157" t="e">
        <f>+'Zał.1_WPF_bazowy'!#REF!</f>
        <v>#REF!</v>
      </c>
      <c r="Y75" s="157" t="e">
        <f>+'Zał.1_WPF_bazowy'!#REF!</f>
        <v>#REF!</v>
      </c>
      <c r="Z75" s="157" t="e">
        <f>+'Zał.1_WPF_bazowy'!#REF!</f>
        <v>#REF!</v>
      </c>
      <c r="AA75" s="157" t="e">
        <f>+'Zał.1_WPF_bazowy'!#REF!</f>
        <v>#REF!</v>
      </c>
      <c r="AB75" s="157" t="e">
        <f>+'Zał.1_WPF_bazowy'!#REF!</f>
        <v>#REF!</v>
      </c>
      <c r="AC75" s="157" t="e">
        <f>+'Zał.1_WPF_bazowy'!#REF!</f>
        <v>#REF!</v>
      </c>
      <c r="AD75" s="157" t="e">
        <f>+'Zał.1_WPF_bazowy'!#REF!</f>
        <v>#REF!</v>
      </c>
      <c r="AE75" s="157" t="e">
        <f>+'Zał.1_WPF_bazowy'!#REF!</f>
        <v>#REF!</v>
      </c>
      <c r="AF75" s="157" t="e">
        <f>+'Zał.1_WPF_bazowy'!#REF!</f>
        <v>#REF!</v>
      </c>
      <c r="AG75" s="157" t="e">
        <f>+'Zał.1_WPF_bazowy'!#REF!</f>
        <v>#REF!</v>
      </c>
      <c r="AH75" s="157" t="e">
        <f>+'Zał.1_WPF_bazowy'!#REF!</f>
        <v>#REF!</v>
      </c>
      <c r="AI75" s="157" t="e">
        <f>+'Zał.1_WPF_bazowy'!#REF!</f>
        <v>#REF!</v>
      </c>
      <c r="AJ75" s="157" t="e">
        <f>+'Zał.1_WPF_bazowy'!#REF!</f>
        <v>#REF!</v>
      </c>
      <c r="AK75" s="157" t="e">
        <f>+'Zał.1_WPF_bazowy'!#REF!</f>
        <v>#REF!</v>
      </c>
      <c r="AL75" s="158" t="e">
        <f>+'Zał.1_WPF_bazowy'!#REF!</f>
        <v>#REF!</v>
      </c>
    </row>
    <row r="76" spans="1:38" ht="14.25" outlineLevel="2">
      <c r="A76" s="243"/>
      <c r="B76" s="30" t="s">
        <v>95</v>
      </c>
      <c r="C76" s="79"/>
      <c r="D76" s="268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5" t="e">
        <f>'Zał.1_WPF_bazowy'!#REF!</f>
        <v>#REF!</v>
      </c>
      <c r="I76" s="156">
        <f>+'Zał.1_WPF_bazowy'!E76</f>
        <v>125696.02</v>
      </c>
      <c r="J76" s="157">
        <f>+'Zał.1_WPF_bazowy'!F76</f>
        <v>0</v>
      </c>
      <c r="K76" s="157">
        <f>+'Zał.1_WPF_bazowy'!G76</f>
        <v>0</v>
      </c>
      <c r="L76" s="157">
        <f>+'Zał.1_WPF_bazowy'!H76</f>
        <v>0</v>
      </c>
      <c r="M76" s="157">
        <f>+'Zał.1_WPF_bazowy'!I76</f>
        <v>0</v>
      </c>
      <c r="N76" s="157">
        <f>+'Zał.1_WPF_bazowy'!J76</f>
        <v>0</v>
      </c>
      <c r="O76" s="157">
        <f>+'Zał.1_WPF_bazowy'!K76</f>
        <v>0</v>
      </c>
      <c r="P76" s="157">
        <f>+'Zał.1_WPF_bazowy'!L76</f>
        <v>0</v>
      </c>
      <c r="Q76" s="157">
        <f>+'Zał.1_WPF_bazowy'!M76</f>
        <v>0</v>
      </c>
      <c r="R76" s="157">
        <f>+'Zał.1_WPF_bazowy'!N76</f>
        <v>0</v>
      </c>
      <c r="S76" s="157" t="e">
        <f>+'Zał.1_WPF_bazowy'!#REF!</f>
        <v>#REF!</v>
      </c>
      <c r="T76" s="157" t="e">
        <f>+'Zał.1_WPF_bazowy'!#REF!</f>
        <v>#REF!</v>
      </c>
      <c r="U76" s="157" t="e">
        <f>+'Zał.1_WPF_bazowy'!#REF!</f>
        <v>#REF!</v>
      </c>
      <c r="V76" s="157" t="e">
        <f>+'Zał.1_WPF_bazowy'!#REF!</f>
        <v>#REF!</v>
      </c>
      <c r="W76" s="157" t="e">
        <f>+'Zał.1_WPF_bazowy'!#REF!</f>
        <v>#REF!</v>
      </c>
      <c r="X76" s="157" t="e">
        <f>+'Zał.1_WPF_bazowy'!#REF!</f>
        <v>#REF!</v>
      </c>
      <c r="Y76" s="157" t="e">
        <f>+'Zał.1_WPF_bazowy'!#REF!</f>
        <v>#REF!</v>
      </c>
      <c r="Z76" s="157" t="e">
        <f>+'Zał.1_WPF_bazowy'!#REF!</f>
        <v>#REF!</v>
      </c>
      <c r="AA76" s="157" t="e">
        <f>+'Zał.1_WPF_bazowy'!#REF!</f>
        <v>#REF!</v>
      </c>
      <c r="AB76" s="157" t="e">
        <f>+'Zał.1_WPF_bazowy'!#REF!</f>
        <v>#REF!</v>
      </c>
      <c r="AC76" s="157" t="e">
        <f>+'Zał.1_WPF_bazowy'!#REF!</f>
        <v>#REF!</v>
      </c>
      <c r="AD76" s="157" t="e">
        <f>+'Zał.1_WPF_bazowy'!#REF!</f>
        <v>#REF!</v>
      </c>
      <c r="AE76" s="157" t="e">
        <f>+'Zał.1_WPF_bazowy'!#REF!</f>
        <v>#REF!</v>
      </c>
      <c r="AF76" s="157" t="e">
        <f>+'Zał.1_WPF_bazowy'!#REF!</f>
        <v>#REF!</v>
      </c>
      <c r="AG76" s="157" t="e">
        <f>+'Zał.1_WPF_bazowy'!#REF!</f>
        <v>#REF!</v>
      </c>
      <c r="AH76" s="157" t="e">
        <f>+'Zał.1_WPF_bazowy'!#REF!</f>
        <v>#REF!</v>
      </c>
      <c r="AI76" s="157" t="e">
        <f>+'Zał.1_WPF_bazowy'!#REF!</f>
        <v>#REF!</v>
      </c>
      <c r="AJ76" s="157" t="e">
        <f>+'Zał.1_WPF_bazowy'!#REF!</f>
        <v>#REF!</v>
      </c>
      <c r="AK76" s="157" t="e">
        <f>+'Zał.1_WPF_bazowy'!#REF!</f>
        <v>#REF!</v>
      </c>
      <c r="AL76" s="158" t="e">
        <f>+'Zał.1_WPF_bazowy'!#REF!</f>
        <v>#REF!</v>
      </c>
    </row>
    <row r="77" spans="1:38" ht="24" outlineLevel="2">
      <c r="A77" s="243"/>
      <c r="B77" s="30" t="s">
        <v>97</v>
      </c>
      <c r="C77" s="79"/>
      <c r="D77" s="267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5" t="e">
        <f>'Zał.1_WPF_bazowy'!#REF!</f>
        <v>#REF!</v>
      </c>
      <c r="I77" s="156">
        <f>+'Zał.1_WPF_bazowy'!E77</f>
        <v>125696.02</v>
      </c>
      <c r="J77" s="157">
        <f>+'Zał.1_WPF_bazowy'!F77</f>
        <v>0</v>
      </c>
      <c r="K77" s="157">
        <f>+'Zał.1_WPF_bazowy'!G77</f>
        <v>0</v>
      </c>
      <c r="L77" s="157">
        <f>+'Zał.1_WPF_bazowy'!H77</f>
        <v>0</v>
      </c>
      <c r="M77" s="157">
        <f>+'Zał.1_WPF_bazowy'!I77</f>
        <v>0</v>
      </c>
      <c r="N77" s="157">
        <f>+'Zał.1_WPF_bazowy'!J77</f>
        <v>0</v>
      </c>
      <c r="O77" s="157">
        <f>+'Zał.1_WPF_bazowy'!K77</f>
        <v>0</v>
      </c>
      <c r="P77" s="157">
        <f>+'Zał.1_WPF_bazowy'!L77</f>
        <v>0</v>
      </c>
      <c r="Q77" s="157">
        <f>+'Zał.1_WPF_bazowy'!M77</f>
        <v>0</v>
      </c>
      <c r="R77" s="157">
        <f>+'Zał.1_WPF_bazowy'!N77</f>
        <v>0</v>
      </c>
      <c r="S77" s="157" t="e">
        <f>+'Zał.1_WPF_bazowy'!#REF!</f>
        <v>#REF!</v>
      </c>
      <c r="T77" s="157" t="e">
        <f>+'Zał.1_WPF_bazowy'!#REF!</f>
        <v>#REF!</v>
      </c>
      <c r="U77" s="157" t="e">
        <f>+'Zał.1_WPF_bazowy'!#REF!</f>
        <v>#REF!</v>
      </c>
      <c r="V77" s="157" t="e">
        <f>+'Zał.1_WPF_bazowy'!#REF!</f>
        <v>#REF!</v>
      </c>
      <c r="W77" s="157" t="e">
        <f>+'Zał.1_WPF_bazowy'!#REF!</f>
        <v>#REF!</v>
      </c>
      <c r="X77" s="157" t="e">
        <f>+'Zał.1_WPF_bazowy'!#REF!</f>
        <v>#REF!</v>
      </c>
      <c r="Y77" s="157" t="e">
        <f>+'Zał.1_WPF_bazowy'!#REF!</f>
        <v>#REF!</v>
      </c>
      <c r="Z77" s="157" t="e">
        <f>+'Zał.1_WPF_bazowy'!#REF!</f>
        <v>#REF!</v>
      </c>
      <c r="AA77" s="157" t="e">
        <f>+'Zał.1_WPF_bazowy'!#REF!</f>
        <v>#REF!</v>
      </c>
      <c r="AB77" s="157" t="e">
        <f>+'Zał.1_WPF_bazowy'!#REF!</f>
        <v>#REF!</v>
      </c>
      <c r="AC77" s="157" t="e">
        <f>+'Zał.1_WPF_bazowy'!#REF!</f>
        <v>#REF!</v>
      </c>
      <c r="AD77" s="157" t="e">
        <f>+'Zał.1_WPF_bazowy'!#REF!</f>
        <v>#REF!</v>
      </c>
      <c r="AE77" s="157" t="e">
        <f>+'Zał.1_WPF_bazowy'!#REF!</f>
        <v>#REF!</v>
      </c>
      <c r="AF77" s="157" t="e">
        <f>+'Zał.1_WPF_bazowy'!#REF!</f>
        <v>#REF!</v>
      </c>
      <c r="AG77" s="157" t="e">
        <f>+'Zał.1_WPF_bazowy'!#REF!</f>
        <v>#REF!</v>
      </c>
      <c r="AH77" s="157" t="e">
        <f>+'Zał.1_WPF_bazowy'!#REF!</f>
        <v>#REF!</v>
      </c>
      <c r="AI77" s="157" t="e">
        <f>+'Zał.1_WPF_bazowy'!#REF!</f>
        <v>#REF!</v>
      </c>
      <c r="AJ77" s="157" t="e">
        <f>+'Zał.1_WPF_bazowy'!#REF!</f>
        <v>#REF!</v>
      </c>
      <c r="AK77" s="157" t="e">
        <f>+'Zał.1_WPF_bazowy'!#REF!</f>
        <v>#REF!</v>
      </c>
      <c r="AL77" s="158" t="e">
        <f>+'Zał.1_WPF_bazowy'!#REF!</f>
        <v>#REF!</v>
      </c>
    </row>
    <row r="78" spans="1:38" ht="24" outlineLevel="2">
      <c r="A78" s="243"/>
      <c r="B78" s="30" t="s">
        <v>161</v>
      </c>
      <c r="C78" s="79"/>
      <c r="D78" s="198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5" t="e">
        <f>'Zał.1_WPF_bazowy'!#REF!</f>
        <v>#REF!</v>
      </c>
      <c r="I78" s="156">
        <f>+'Zał.1_WPF_bazowy'!E78</f>
        <v>0</v>
      </c>
      <c r="J78" s="157">
        <f>+'Zał.1_WPF_bazowy'!F78</f>
        <v>0</v>
      </c>
      <c r="K78" s="157">
        <f>+'Zał.1_WPF_bazowy'!G78</f>
        <v>0</v>
      </c>
      <c r="L78" s="157">
        <f>+'Zał.1_WPF_bazowy'!H78</f>
        <v>0</v>
      </c>
      <c r="M78" s="157">
        <f>+'Zał.1_WPF_bazowy'!I78</f>
        <v>0</v>
      </c>
      <c r="N78" s="157">
        <f>+'Zał.1_WPF_bazowy'!J78</f>
        <v>0</v>
      </c>
      <c r="O78" s="157">
        <f>+'Zał.1_WPF_bazowy'!K78</f>
        <v>0</v>
      </c>
      <c r="P78" s="157">
        <f>+'Zał.1_WPF_bazowy'!L78</f>
        <v>0</v>
      </c>
      <c r="Q78" s="157">
        <f>+'Zał.1_WPF_bazowy'!M78</f>
        <v>0</v>
      </c>
      <c r="R78" s="157">
        <f>+'Zał.1_WPF_bazowy'!N78</f>
        <v>0</v>
      </c>
      <c r="S78" s="157" t="e">
        <f>+'Zał.1_WPF_bazowy'!#REF!</f>
        <v>#REF!</v>
      </c>
      <c r="T78" s="157" t="e">
        <f>+'Zał.1_WPF_bazowy'!#REF!</f>
        <v>#REF!</v>
      </c>
      <c r="U78" s="157" t="e">
        <f>+'Zał.1_WPF_bazowy'!#REF!</f>
        <v>#REF!</v>
      </c>
      <c r="V78" s="157" t="e">
        <f>+'Zał.1_WPF_bazowy'!#REF!</f>
        <v>#REF!</v>
      </c>
      <c r="W78" s="157" t="e">
        <f>+'Zał.1_WPF_bazowy'!#REF!</f>
        <v>#REF!</v>
      </c>
      <c r="X78" s="157" t="e">
        <f>+'Zał.1_WPF_bazowy'!#REF!</f>
        <v>#REF!</v>
      </c>
      <c r="Y78" s="157" t="e">
        <f>+'Zał.1_WPF_bazowy'!#REF!</f>
        <v>#REF!</v>
      </c>
      <c r="Z78" s="157" t="e">
        <f>+'Zał.1_WPF_bazowy'!#REF!</f>
        <v>#REF!</v>
      </c>
      <c r="AA78" s="157" t="e">
        <f>+'Zał.1_WPF_bazowy'!#REF!</f>
        <v>#REF!</v>
      </c>
      <c r="AB78" s="157" t="e">
        <f>+'Zał.1_WPF_bazowy'!#REF!</f>
        <v>#REF!</v>
      </c>
      <c r="AC78" s="157" t="e">
        <f>+'Zał.1_WPF_bazowy'!#REF!</f>
        <v>#REF!</v>
      </c>
      <c r="AD78" s="157" t="e">
        <f>+'Zał.1_WPF_bazowy'!#REF!</f>
        <v>#REF!</v>
      </c>
      <c r="AE78" s="157" t="e">
        <f>+'Zał.1_WPF_bazowy'!#REF!</f>
        <v>#REF!</v>
      </c>
      <c r="AF78" s="157" t="e">
        <f>+'Zał.1_WPF_bazowy'!#REF!</f>
        <v>#REF!</v>
      </c>
      <c r="AG78" s="157" t="e">
        <f>+'Zał.1_WPF_bazowy'!#REF!</f>
        <v>#REF!</v>
      </c>
      <c r="AH78" s="157" t="e">
        <f>+'Zał.1_WPF_bazowy'!#REF!</f>
        <v>#REF!</v>
      </c>
      <c r="AI78" s="157" t="e">
        <f>+'Zał.1_WPF_bazowy'!#REF!</f>
        <v>#REF!</v>
      </c>
      <c r="AJ78" s="157" t="e">
        <f>+'Zał.1_WPF_bazowy'!#REF!</f>
        <v>#REF!</v>
      </c>
      <c r="AK78" s="157" t="e">
        <f>+'Zał.1_WPF_bazowy'!#REF!</f>
        <v>#REF!</v>
      </c>
      <c r="AL78" s="158" t="e">
        <f>+'Zał.1_WPF_bazowy'!#REF!</f>
        <v>#REF!</v>
      </c>
    </row>
    <row r="79" spans="1:38" ht="14.25" outlineLevel="2">
      <c r="A79" s="243"/>
      <c r="B79" s="30" t="s">
        <v>100</v>
      </c>
      <c r="C79" s="79"/>
      <c r="D79" s="268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5" t="e">
        <f>'Zał.1_WPF_bazowy'!#REF!</f>
        <v>#REF!</v>
      </c>
      <c r="I79" s="156">
        <f>+'Zał.1_WPF_bazowy'!E79</f>
        <v>0</v>
      </c>
      <c r="J79" s="157">
        <f>+'Zał.1_WPF_bazowy'!F79</f>
        <v>0</v>
      </c>
      <c r="K79" s="157">
        <f>+'Zał.1_WPF_bazowy'!G79</f>
        <v>0</v>
      </c>
      <c r="L79" s="157">
        <f>+'Zał.1_WPF_bazowy'!H79</f>
        <v>0</v>
      </c>
      <c r="M79" s="157">
        <f>+'Zał.1_WPF_bazowy'!I79</f>
        <v>0</v>
      </c>
      <c r="N79" s="157">
        <f>+'Zał.1_WPF_bazowy'!J79</f>
        <v>0</v>
      </c>
      <c r="O79" s="157">
        <f>+'Zał.1_WPF_bazowy'!K79</f>
        <v>0</v>
      </c>
      <c r="P79" s="157">
        <f>+'Zał.1_WPF_bazowy'!L79</f>
        <v>0</v>
      </c>
      <c r="Q79" s="157">
        <f>+'Zał.1_WPF_bazowy'!M79</f>
        <v>0</v>
      </c>
      <c r="R79" s="157">
        <f>+'Zał.1_WPF_bazowy'!N79</f>
        <v>0</v>
      </c>
      <c r="S79" s="157" t="e">
        <f>+'Zał.1_WPF_bazowy'!#REF!</f>
        <v>#REF!</v>
      </c>
      <c r="T79" s="157" t="e">
        <f>+'Zał.1_WPF_bazowy'!#REF!</f>
        <v>#REF!</v>
      </c>
      <c r="U79" s="157" t="e">
        <f>+'Zał.1_WPF_bazowy'!#REF!</f>
        <v>#REF!</v>
      </c>
      <c r="V79" s="157" t="e">
        <f>+'Zał.1_WPF_bazowy'!#REF!</f>
        <v>#REF!</v>
      </c>
      <c r="W79" s="157" t="e">
        <f>+'Zał.1_WPF_bazowy'!#REF!</f>
        <v>#REF!</v>
      </c>
      <c r="X79" s="157" t="e">
        <f>+'Zał.1_WPF_bazowy'!#REF!</f>
        <v>#REF!</v>
      </c>
      <c r="Y79" s="157" t="e">
        <f>+'Zał.1_WPF_bazowy'!#REF!</f>
        <v>#REF!</v>
      </c>
      <c r="Z79" s="157" t="e">
        <f>+'Zał.1_WPF_bazowy'!#REF!</f>
        <v>#REF!</v>
      </c>
      <c r="AA79" s="157" t="e">
        <f>+'Zał.1_WPF_bazowy'!#REF!</f>
        <v>#REF!</v>
      </c>
      <c r="AB79" s="157" t="e">
        <f>+'Zał.1_WPF_bazowy'!#REF!</f>
        <v>#REF!</v>
      </c>
      <c r="AC79" s="157" t="e">
        <f>+'Zał.1_WPF_bazowy'!#REF!</f>
        <v>#REF!</v>
      </c>
      <c r="AD79" s="157" t="e">
        <f>+'Zał.1_WPF_bazowy'!#REF!</f>
        <v>#REF!</v>
      </c>
      <c r="AE79" s="157" t="e">
        <f>+'Zał.1_WPF_bazowy'!#REF!</f>
        <v>#REF!</v>
      </c>
      <c r="AF79" s="157" t="e">
        <f>+'Zał.1_WPF_bazowy'!#REF!</f>
        <v>#REF!</v>
      </c>
      <c r="AG79" s="157" t="e">
        <f>+'Zał.1_WPF_bazowy'!#REF!</f>
        <v>#REF!</v>
      </c>
      <c r="AH79" s="157" t="e">
        <f>+'Zał.1_WPF_bazowy'!#REF!</f>
        <v>#REF!</v>
      </c>
      <c r="AI79" s="157" t="e">
        <f>+'Zał.1_WPF_bazowy'!#REF!</f>
        <v>#REF!</v>
      </c>
      <c r="AJ79" s="157" t="e">
        <f>+'Zał.1_WPF_bazowy'!#REF!</f>
        <v>#REF!</v>
      </c>
      <c r="AK79" s="157" t="e">
        <f>+'Zał.1_WPF_bazowy'!#REF!</f>
        <v>#REF!</v>
      </c>
      <c r="AL79" s="158" t="e">
        <f>+'Zał.1_WPF_bazowy'!#REF!</f>
        <v>#REF!</v>
      </c>
    </row>
    <row r="80" spans="1:38" ht="24" outlineLevel="2">
      <c r="A80" s="243"/>
      <c r="B80" s="30" t="s">
        <v>102</v>
      </c>
      <c r="C80" s="79"/>
      <c r="D80" s="267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5" t="e">
        <f>'Zał.1_WPF_bazowy'!#REF!</f>
        <v>#REF!</v>
      </c>
      <c r="I80" s="156">
        <f>+'Zał.1_WPF_bazowy'!E80</f>
        <v>0</v>
      </c>
      <c r="J80" s="157">
        <f>+'Zał.1_WPF_bazowy'!F80</f>
        <v>0</v>
      </c>
      <c r="K80" s="157">
        <f>+'Zał.1_WPF_bazowy'!G80</f>
        <v>0</v>
      </c>
      <c r="L80" s="157">
        <f>+'Zał.1_WPF_bazowy'!H80</f>
        <v>0</v>
      </c>
      <c r="M80" s="157">
        <f>+'Zał.1_WPF_bazowy'!I80</f>
        <v>0</v>
      </c>
      <c r="N80" s="157">
        <f>+'Zał.1_WPF_bazowy'!J80</f>
        <v>0</v>
      </c>
      <c r="O80" s="157">
        <f>+'Zał.1_WPF_bazowy'!K80</f>
        <v>0</v>
      </c>
      <c r="P80" s="157">
        <f>+'Zał.1_WPF_bazowy'!L80</f>
        <v>0</v>
      </c>
      <c r="Q80" s="157">
        <f>+'Zał.1_WPF_bazowy'!M80</f>
        <v>0</v>
      </c>
      <c r="R80" s="157">
        <f>+'Zał.1_WPF_bazowy'!N80</f>
        <v>0</v>
      </c>
      <c r="S80" s="157" t="e">
        <f>+'Zał.1_WPF_bazowy'!#REF!</f>
        <v>#REF!</v>
      </c>
      <c r="T80" s="157" t="e">
        <f>+'Zał.1_WPF_bazowy'!#REF!</f>
        <v>#REF!</v>
      </c>
      <c r="U80" s="157" t="e">
        <f>+'Zał.1_WPF_bazowy'!#REF!</f>
        <v>#REF!</v>
      </c>
      <c r="V80" s="157" t="e">
        <f>+'Zał.1_WPF_bazowy'!#REF!</f>
        <v>#REF!</v>
      </c>
      <c r="W80" s="157" t="e">
        <f>+'Zał.1_WPF_bazowy'!#REF!</f>
        <v>#REF!</v>
      </c>
      <c r="X80" s="157" t="e">
        <f>+'Zał.1_WPF_bazowy'!#REF!</f>
        <v>#REF!</v>
      </c>
      <c r="Y80" s="157" t="e">
        <f>+'Zał.1_WPF_bazowy'!#REF!</f>
        <v>#REF!</v>
      </c>
      <c r="Z80" s="157" t="e">
        <f>+'Zał.1_WPF_bazowy'!#REF!</f>
        <v>#REF!</v>
      </c>
      <c r="AA80" s="157" t="e">
        <f>+'Zał.1_WPF_bazowy'!#REF!</f>
        <v>#REF!</v>
      </c>
      <c r="AB80" s="157" t="e">
        <f>+'Zał.1_WPF_bazowy'!#REF!</f>
        <v>#REF!</v>
      </c>
      <c r="AC80" s="157" t="e">
        <f>+'Zał.1_WPF_bazowy'!#REF!</f>
        <v>#REF!</v>
      </c>
      <c r="AD80" s="157" t="e">
        <f>+'Zał.1_WPF_bazowy'!#REF!</f>
        <v>#REF!</v>
      </c>
      <c r="AE80" s="157" t="e">
        <f>+'Zał.1_WPF_bazowy'!#REF!</f>
        <v>#REF!</v>
      </c>
      <c r="AF80" s="157" t="e">
        <f>+'Zał.1_WPF_bazowy'!#REF!</f>
        <v>#REF!</v>
      </c>
      <c r="AG80" s="157" t="e">
        <f>+'Zał.1_WPF_bazowy'!#REF!</f>
        <v>#REF!</v>
      </c>
      <c r="AH80" s="157" t="e">
        <f>+'Zał.1_WPF_bazowy'!#REF!</f>
        <v>#REF!</v>
      </c>
      <c r="AI80" s="157" t="e">
        <f>+'Zał.1_WPF_bazowy'!#REF!</f>
        <v>#REF!</v>
      </c>
      <c r="AJ80" s="157" t="e">
        <f>+'Zał.1_WPF_bazowy'!#REF!</f>
        <v>#REF!</v>
      </c>
      <c r="AK80" s="157" t="e">
        <f>+'Zał.1_WPF_bazowy'!#REF!</f>
        <v>#REF!</v>
      </c>
      <c r="AL80" s="158" t="e">
        <f>+'Zał.1_WPF_bazowy'!#REF!</f>
        <v>#REF!</v>
      </c>
    </row>
    <row r="81" spans="1:38" ht="24" outlineLevel="2">
      <c r="A81" s="243"/>
      <c r="B81" s="30" t="s">
        <v>162</v>
      </c>
      <c r="C81" s="79"/>
      <c r="D81" s="198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5" t="e">
        <f>'Zał.1_WPF_bazowy'!#REF!</f>
        <v>#REF!</v>
      </c>
      <c r="I81" s="156">
        <f>+'Zał.1_WPF_bazowy'!E81</f>
        <v>136490</v>
      </c>
      <c r="J81" s="157">
        <f>+'Zał.1_WPF_bazowy'!F81</f>
        <v>95572.25</v>
      </c>
      <c r="K81" s="157">
        <f>+'Zał.1_WPF_bazowy'!G81</f>
        <v>1375</v>
      </c>
      <c r="L81" s="157">
        <f>+'Zał.1_WPF_bazowy'!H81</f>
        <v>1375</v>
      </c>
      <c r="M81" s="157">
        <f>+'Zał.1_WPF_bazowy'!I81</f>
        <v>0</v>
      </c>
      <c r="N81" s="157">
        <f>+'Zał.1_WPF_bazowy'!J81</f>
        <v>0</v>
      </c>
      <c r="O81" s="157">
        <f>+'Zał.1_WPF_bazowy'!K81</f>
        <v>0</v>
      </c>
      <c r="P81" s="157">
        <f>+'Zał.1_WPF_bazowy'!L81</f>
        <v>0</v>
      </c>
      <c r="Q81" s="157">
        <f>+'Zał.1_WPF_bazowy'!M81</f>
        <v>0</v>
      </c>
      <c r="R81" s="157">
        <f>+'Zał.1_WPF_bazowy'!N81</f>
        <v>0</v>
      </c>
      <c r="S81" s="157" t="e">
        <f>+'Zał.1_WPF_bazowy'!#REF!</f>
        <v>#REF!</v>
      </c>
      <c r="T81" s="157" t="e">
        <f>+'Zał.1_WPF_bazowy'!#REF!</f>
        <v>#REF!</v>
      </c>
      <c r="U81" s="157" t="e">
        <f>+'Zał.1_WPF_bazowy'!#REF!</f>
        <v>#REF!</v>
      </c>
      <c r="V81" s="157" t="e">
        <f>+'Zał.1_WPF_bazowy'!#REF!</f>
        <v>#REF!</v>
      </c>
      <c r="W81" s="157" t="e">
        <f>+'Zał.1_WPF_bazowy'!#REF!</f>
        <v>#REF!</v>
      </c>
      <c r="X81" s="157" t="e">
        <f>+'Zał.1_WPF_bazowy'!#REF!</f>
        <v>#REF!</v>
      </c>
      <c r="Y81" s="157" t="e">
        <f>+'Zał.1_WPF_bazowy'!#REF!</f>
        <v>#REF!</v>
      </c>
      <c r="Z81" s="157" t="e">
        <f>+'Zał.1_WPF_bazowy'!#REF!</f>
        <v>#REF!</v>
      </c>
      <c r="AA81" s="157" t="e">
        <f>+'Zał.1_WPF_bazowy'!#REF!</f>
        <v>#REF!</v>
      </c>
      <c r="AB81" s="157" t="e">
        <f>+'Zał.1_WPF_bazowy'!#REF!</f>
        <v>#REF!</v>
      </c>
      <c r="AC81" s="157" t="e">
        <f>+'Zał.1_WPF_bazowy'!#REF!</f>
        <v>#REF!</v>
      </c>
      <c r="AD81" s="157" t="e">
        <f>+'Zał.1_WPF_bazowy'!#REF!</f>
        <v>#REF!</v>
      </c>
      <c r="AE81" s="157" t="e">
        <f>+'Zał.1_WPF_bazowy'!#REF!</f>
        <v>#REF!</v>
      </c>
      <c r="AF81" s="157" t="e">
        <f>+'Zał.1_WPF_bazowy'!#REF!</f>
        <v>#REF!</v>
      </c>
      <c r="AG81" s="157" t="e">
        <f>+'Zał.1_WPF_bazowy'!#REF!</f>
        <v>#REF!</v>
      </c>
      <c r="AH81" s="157" t="e">
        <f>+'Zał.1_WPF_bazowy'!#REF!</f>
        <v>#REF!</v>
      </c>
      <c r="AI81" s="157" t="e">
        <f>+'Zał.1_WPF_bazowy'!#REF!</f>
        <v>#REF!</v>
      </c>
      <c r="AJ81" s="157" t="e">
        <f>+'Zał.1_WPF_bazowy'!#REF!</f>
        <v>#REF!</v>
      </c>
      <c r="AK81" s="157" t="e">
        <f>+'Zał.1_WPF_bazowy'!#REF!</f>
        <v>#REF!</v>
      </c>
      <c r="AL81" s="158" t="e">
        <f>+'Zał.1_WPF_bazowy'!#REF!</f>
        <v>#REF!</v>
      </c>
    </row>
    <row r="82" spans="1:38" ht="14.25" outlineLevel="2">
      <c r="A82" s="243"/>
      <c r="B82" s="30" t="s">
        <v>105</v>
      </c>
      <c r="C82" s="79"/>
      <c r="D82" s="268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5" t="e">
        <f>'Zał.1_WPF_bazowy'!#REF!</f>
        <v>#REF!</v>
      </c>
      <c r="I82" s="156">
        <f>+'Zał.1_WPF_bazowy'!E82</f>
        <v>114262.95</v>
      </c>
      <c r="J82" s="157">
        <f>+'Zał.1_WPF_bazowy'!F82</f>
        <v>80580</v>
      </c>
      <c r="K82" s="157">
        <f>+'Zał.1_WPF_bazowy'!G82</f>
        <v>0</v>
      </c>
      <c r="L82" s="157">
        <f>+'Zał.1_WPF_bazowy'!H82</f>
        <v>0</v>
      </c>
      <c r="M82" s="157">
        <f>+'Zał.1_WPF_bazowy'!I82</f>
        <v>0</v>
      </c>
      <c r="N82" s="157">
        <f>+'Zał.1_WPF_bazowy'!J82</f>
        <v>0</v>
      </c>
      <c r="O82" s="157">
        <f>+'Zał.1_WPF_bazowy'!K82</f>
        <v>0</v>
      </c>
      <c r="P82" s="157">
        <f>+'Zał.1_WPF_bazowy'!L82</f>
        <v>0</v>
      </c>
      <c r="Q82" s="157">
        <f>+'Zał.1_WPF_bazowy'!M82</f>
        <v>0</v>
      </c>
      <c r="R82" s="157">
        <f>+'Zał.1_WPF_bazowy'!N82</f>
        <v>0</v>
      </c>
      <c r="S82" s="157" t="e">
        <f>+'Zał.1_WPF_bazowy'!#REF!</f>
        <v>#REF!</v>
      </c>
      <c r="T82" s="157" t="e">
        <f>+'Zał.1_WPF_bazowy'!#REF!</f>
        <v>#REF!</v>
      </c>
      <c r="U82" s="157" t="e">
        <f>+'Zał.1_WPF_bazowy'!#REF!</f>
        <v>#REF!</v>
      </c>
      <c r="V82" s="157" t="e">
        <f>+'Zał.1_WPF_bazowy'!#REF!</f>
        <v>#REF!</v>
      </c>
      <c r="W82" s="157" t="e">
        <f>+'Zał.1_WPF_bazowy'!#REF!</f>
        <v>#REF!</v>
      </c>
      <c r="X82" s="157" t="e">
        <f>+'Zał.1_WPF_bazowy'!#REF!</f>
        <v>#REF!</v>
      </c>
      <c r="Y82" s="157" t="e">
        <f>+'Zał.1_WPF_bazowy'!#REF!</f>
        <v>#REF!</v>
      </c>
      <c r="Z82" s="157" t="e">
        <f>+'Zał.1_WPF_bazowy'!#REF!</f>
        <v>#REF!</v>
      </c>
      <c r="AA82" s="157" t="e">
        <f>+'Zał.1_WPF_bazowy'!#REF!</f>
        <v>#REF!</v>
      </c>
      <c r="AB82" s="157" t="e">
        <f>+'Zał.1_WPF_bazowy'!#REF!</f>
        <v>#REF!</v>
      </c>
      <c r="AC82" s="157" t="e">
        <f>+'Zał.1_WPF_bazowy'!#REF!</f>
        <v>#REF!</v>
      </c>
      <c r="AD82" s="157" t="e">
        <f>+'Zał.1_WPF_bazowy'!#REF!</f>
        <v>#REF!</v>
      </c>
      <c r="AE82" s="157" t="e">
        <f>+'Zał.1_WPF_bazowy'!#REF!</f>
        <v>#REF!</v>
      </c>
      <c r="AF82" s="157" t="e">
        <f>+'Zał.1_WPF_bazowy'!#REF!</f>
        <v>#REF!</v>
      </c>
      <c r="AG82" s="157" t="e">
        <f>+'Zał.1_WPF_bazowy'!#REF!</f>
        <v>#REF!</v>
      </c>
      <c r="AH82" s="157" t="e">
        <f>+'Zał.1_WPF_bazowy'!#REF!</f>
        <v>#REF!</v>
      </c>
      <c r="AI82" s="157" t="e">
        <f>+'Zał.1_WPF_bazowy'!#REF!</f>
        <v>#REF!</v>
      </c>
      <c r="AJ82" s="157" t="e">
        <f>+'Zał.1_WPF_bazowy'!#REF!</f>
        <v>#REF!</v>
      </c>
      <c r="AK82" s="157" t="e">
        <f>+'Zał.1_WPF_bazowy'!#REF!</f>
        <v>#REF!</v>
      </c>
      <c r="AL82" s="158" t="e">
        <f>+'Zał.1_WPF_bazowy'!#REF!</f>
        <v>#REF!</v>
      </c>
    </row>
    <row r="83" spans="1:38" ht="24" outlineLevel="2">
      <c r="A83" s="243"/>
      <c r="B83" s="30" t="s">
        <v>107</v>
      </c>
      <c r="C83" s="79"/>
      <c r="D83" s="199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5" t="e">
        <f>'Zał.1_WPF_bazowy'!#REF!</f>
        <v>#REF!</v>
      </c>
      <c r="I83" s="156">
        <f>+'Zał.1_WPF_bazowy'!E83</f>
        <v>136490</v>
      </c>
      <c r="J83" s="157">
        <f>+'Zał.1_WPF_bazowy'!F83</f>
        <v>92822.25</v>
      </c>
      <c r="K83" s="157">
        <f>+'Zał.1_WPF_bazowy'!G83</f>
        <v>0</v>
      </c>
      <c r="L83" s="157">
        <f>+'Zał.1_WPF_bazowy'!H83</f>
        <v>0</v>
      </c>
      <c r="M83" s="157">
        <f>+'Zał.1_WPF_bazowy'!I83</f>
        <v>0</v>
      </c>
      <c r="N83" s="157">
        <f>+'Zał.1_WPF_bazowy'!J83</f>
        <v>0</v>
      </c>
      <c r="O83" s="157">
        <f>+'Zał.1_WPF_bazowy'!K83</f>
        <v>0</v>
      </c>
      <c r="P83" s="157">
        <f>+'Zał.1_WPF_bazowy'!L83</f>
        <v>0</v>
      </c>
      <c r="Q83" s="157">
        <f>+'Zał.1_WPF_bazowy'!M83</f>
        <v>0</v>
      </c>
      <c r="R83" s="157">
        <f>+'Zał.1_WPF_bazowy'!N83</f>
        <v>0</v>
      </c>
      <c r="S83" s="157" t="e">
        <f>+'Zał.1_WPF_bazowy'!#REF!</f>
        <v>#REF!</v>
      </c>
      <c r="T83" s="157" t="e">
        <f>+'Zał.1_WPF_bazowy'!#REF!</f>
        <v>#REF!</v>
      </c>
      <c r="U83" s="157" t="e">
        <f>+'Zał.1_WPF_bazowy'!#REF!</f>
        <v>#REF!</v>
      </c>
      <c r="V83" s="157" t="e">
        <f>+'Zał.1_WPF_bazowy'!#REF!</f>
        <v>#REF!</v>
      </c>
      <c r="W83" s="157" t="e">
        <f>+'Zał.1_WPF_bazowy'!#REF!</f>
        <v>#REF!</v>
      </c>
      <c r="X83" s="157" t="e">
        <f>+'Zał.1_WPF_bazowy'!#REF!</f>
        <v>#REF!</v>
      </c>
      <c r="Y83" s="157" t="e">
        <f>+'Zał.1_WPF_bazowy'!#REF!</f>
        <v>#REF!</v>
      </c>
      <c r="Z83" s="157" t="e">
        <f>+'Zał.1_WPF_bazowy'!#REF!</f>
        <v>#REF!</v>
      </c>
      <c r="AA83" s="157" t="e">
        <f>+'Zał.1_WPF_bazowy'!#REF!</f>
        <v>#REF!</v>
      </c>
      <c r="AB83" s="157" t="e">
        <f>+'Zał.1_WPF_bazowy'!#REF!</f>
        <v>#REF!</v>
      </c>
      <c r="AC83" s="157" t="e">
        <f>+'Zał.1_WPF_bazowy'!#REF!</f>
        <v>#REF!</v>
      </c>
      <c r="AD83" s="157" t="e">
        <f>+'Zał.1_WPF_bazowy'!#REF!</f>
        <v>#REF!</v>
      </c>
      <c r="AE83" s="157" t="e">
        <f>+'Zał.1_WPF_bazowy'!#REF!</f>
        <v>#REF!</v>
      </c>
      <c r="AF83" s="157" t="e">
        <f>+'Zał.1_WPF_bazowy'!#REF!</f>
        <v>#REF!</v>
      </c>
      <c r="AG83" s="157" t="e">
        <f>+'Zał.1_WPF_bazowy'!#REF!</f>
        <v>#REF!</v>
      </c>
      <c r="AH83" s="157" t="e">
        <f>+'Zał.1_WPF_bazowy'!#REF!</f>
        <v>#REF!</v>
      </c>
      <c r="AI83" s="157" t="e">
        <f>+'Zał.1_WPF_bazowy'!#REF!</f>
        <v>#REF!</v>
      </c>
      <c r="AJ83" s="157" t="e">
        <f>+'Zał.1_WPF_bazowy'!#REF!</f>
        <v>#REF!</v>
      </c>
      <c r="AK83" s="157" t="e">
        <f>+'Zał.1_WPF_bazowy'!#REF!</f>
        <v>#REF!</v>
      </c>
      <c r="AL83" s="158" t="e">
        <f>+'Zał.1_WPF_bazowy'!#REF!</f>
        <v>#REF!</v>
      </c>
    </row>
    <row r="84" spans="1:38" ht="24" outlineLevel="2">
      <c r="A84" s="243"/>
      <c r="B84" s="30" t="s">
        <v>163</v>
      </c>
      <c r="C84" s="79"/>
      <c r="D84" s="198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5" t="e">
        <f>'Zał.1_WPF_bazowy'!#REF!</f>
        <v>#REF!</v>
      </c>
      <c r="I84" s="156">
        <f>+'Zał.1_WPF_bazowy'!E84</f>
        <v>4977670</v>
      </c>
      <c r="J84" s="157">
        <f>+'Zał.1_WPF_bazowy'!F84</f>
        <v>4553833</v>
      </c>
      <c r="K84" s="157">
        <f>+'Zał.1_WPF_bazowy'!G84</f>
        <v>0</v>
      </c>
      <c r="L84" s="157">
        <f>+'Zał.1_WPF_bazowy'!H84</f>
        <v>0</v>
      </c>
      <c r="M84" s="157">
        <f>+'Zał.1_WPF_bazowy'!I84</f>
        <v>0</v>
      </c>
      <c r="N84" s="157">
        <f>+'Zał.1_WPF_bazowy'!J84</f>
        <v>0</v>
      </c>
      <c r="O84" s="157">
        <f>+'Zał.1_WPF_bazowy'!K84</f>
        <v>0</v>
      </c>
      <c r="P84" s="157">
        <f>+'Zał.1_WPF_bazowy'!L84</f>
        <v>0</v>
      </c>
      <c r="Q84" s="157">
        <f>+'Zał.1_WPF_bazowy'!M84</f>
        <v>0</v>
      </c>
      <c r="R84" s="157">
        <f>+'Zał.1_WPF_bazowy'!N84</f>
        <v>0</v>
      </c>
      <c r="S84" s="157" t="e">
        <f>+'Zał.1_WPF_bazowy'!#REF!</f>
        <v>#REF!</v>
      </c>
      <c r="T84" s="157" t="e">
        <f>+'Zał.1_WPF_bazowy'!#REF!</f>
        <v>#REF!</v>
      </c>
      <c r="U84" s="157" t="e">
        <f>+'Zał.1_WPF_bazowy'!#REF!</f>
        <v>#REF!</v>
      </c>
      <c r="V84" s="157" t="e">
        <f>+'Zał.1_WPF_bazowy'!#REF!</f>
        <v>#REF!</v>
      </c>
      <c r="W84" s="157" t="e">
        <f>+'Zał.1_WPF_bazowy'!#REF!</f>
        <v>#REF!</v>
      </c>
      <c r="X84" s="157" t="e">
        <f>+'Zał.1_WPF_bazowy'!#REF!</f>
        <v>#REF!</v>
      </c>
      <c r="Y84" s="157" t="e">
        <f>+'Zał.1_WPF_bazowy'!#REF!</f>
        <v>#REF!</v>
      </c>
      <c r="Z84" s="157" t="e">
        <f>+'Zał.1_WPF_bazowy'!#REF!</f>
        <v>#REF!</v>
      </c>
      <c r="AA84" s="157" t="e">
        <f>+'Zał.1_WPF_bazowy'!#REF!</f>
        <v>#REF!</v>
      </c>
      <c r="AB84" s="157" t="e">
        <f>+'Zał.1_WPF_bazowy'!#REF!</f>
        <v>#REF!</v>
      </c>
      <c r="AC84" s="157" t="e">
        <f>+'Zał.1_WPF_bazowy'!#REF!</f>
        <v>#REF!</v>
      </c>
      <c r="AD84" s="157" t="e">
        <f>+'Zał.1_WPF_bazowy'!#REF!</f>
        <v>#REF!</v>
      </c>
      <c r="AE84" s="157" t="e">
        <f>+'Zał.1_WPF_bazowy'!#REF!</f>
        <v>#REF!</v>
      </c>
      <c r="AF84" s="157" t="e">
        <f>+'Zał.1_WPF_bazowy'!#REF!</f>
        <v>#REF!</v>
      </c>
      <c r="AG84" s="157" t="e">
        <f>+'Zał.1_WPF_bazowy'!#REF!</f>
        <v>#REF!</v>
      </c>
      <c r="AH84" s="157" t="e">
        <f>+'Zał.1_WPF_bazowy'!#REF!</f>
        <v>#REF!</v>
      </c>
      <c r="AI84" s="157" t="e">
        <f>+'Zał.1_WPF_bazowy'!#REF!</f>
        <v>#REF!</v>
      </c>
      <c r="AJ84" s="157" t="e">
        <f>+'Zał.1_WPF_bazowy'!#REF!</f>
        <v>#REF!</v>
      </c>
      <c r="AK84" s="157" t="e">
        <f>+'Zał.1_WPF_bazowy'!#REF!</f>
        <v>#REF!</v>
      </c>
      <c r="AL84" s="158" t="e">
        <f>+'Zał.1_WPF_bazowy'!#REF!</f>
        <v>#REF!</v>
      </c>
    </row>
    <row r="85" spans="1:38" ht="14.25" outlineLevel="2">
      <c r="A85" s="243"/>
      <c r="B85" s="30" t="s">
        <v>110</v>
      </c>
      <c r="C85" s="79"/>
      <c r="D85" s="268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5" t="e">
        <f>'Zał.1_WPF_bazowy'!#REF!</f>
        <v>#REF!</v>
      </c>
      <c r="I85" s="156">
        <f>+'Zał.1_WPF_bazowy'!E85</f>
        <v>2731444</v>
      </c>
      <c r="J85" s="157">
        <f>+'Zał.1_WPF_bazowy'!F85</f>
        <v>2416023</v>
      </c>
      <c r="K85" s="157">
        <f>+'Zał.1_WPF_bazowy'!G85</f>
        <v>0</v>
      </c>
      <c r="L85" s="157">
        <f>+'Zał.1_WPF_bazowy'!H85</f>
        <v>0</v>
      </c>
      <c r="M85" s="157">
        <f>+'Zał.1_WPF_bazowy'!I85</f>
        <v>0</v>
      </c>
      <c r="N85" s="157">
        <f>+'Zał.1_WPF_bazowy'!J85</f>
        <v>0</v>
      </c>
      <c r="O85" s="157">
        <f>+'Zał.1_WPF_bazowy'!K85</f>
        <v>0</v>
      </c>
      <c r="P85" s="157">
        <f>+'Zał.1_WPF_bazowy'!L85</f>
        <v>0</v>
      </c>
      <c r="Q85" s="157">
        <f>+'Zał.1_WPF_bazowy'!M85</f>
        <v>0</v>
      </c>
      <c r="R85" s="157">
        <f>+'Zał.1_WPF_bazowy'!N85</f>
        <v>0</v>
      </c>
      <c r="S85" s="157" t="e">
        <f>+'Zał.1_WPF_bazowy'!#REF!</f>
        <v>#REF!</v>
      </c>
      <c r="T85" s="157" t="e">
        <f>+'Zał.1_WPF_bazowy'!#REF!</f>
        <v>#REF!</v>
      </c>
      <c r="U85" s="157" t="e">
        <f>+'Zał.1_WPF_bazowy'!#REF!</f>
        <v>#REF!</v>
      </c>
      <c r="V85" s="157" t="e">
        <f>+'Zał.1_WPF_bazowy'!#REF!</f>
        <v>#REF!</v>
      </c>
      <c r="W85" s="157" t="e">
        <f>+'Zał.1_WPF_bazowy'!#REF!</f>
        <v>#REF!</v>
      </c>
      <c r="X85" s="157" t="e">
        <f>+'Zał.1_WPF_bazowy'!#REF!</f>
        <v>#REF!</v>
      </c>
      <c r="Y85" s="157" t="e">
        <f>+'Zał.1_WPF_bazowy'!#REF!</f>
        <v>#REF!</v>
      </c>
      <c r="Z85" s="157" t="e">
        <f>+'Zał.1_WPF_bazowy'!#REF!</f>
        <v>#REF!</v>
      </c>
      <c r="AA85" s="157" t="e">
        <f>+'Zał.1_WPF_bazowy'!#REF!</f>
        <v>#REF!</v>
      </c>
      <c r="AB85" s="157" t="e">
        <f>+'Zał.1_WPF_bazowy'!#REF!</f>
        <v>#REF!</v>
      </c>
      <c r="AC85" s="157" t="e">
        <f>+'Zał.1_WPF_bazowy'!#REF!</f>
        <v>#REF!</v>
      </c>
      <c r="AD85" s="157" t="e">
        <f>+'Zał.1_WPF_bazowy'!#REF!</f>
        <v>#REF!</v>
      </c>
      <c r="AE85" s="157" t="e">
        <f>+'Zał.1_WPF_bazowy'!#REF!</f>
        <v>#REF!</v>
      </c>
      <c r="AF85" s="157" t="e">
        <f>+'Zał.1_WPF_bazowy'!#REF!</f>
        <v>#REF!</v>
      </c>
      <c r="AG85" s="157" t="e">
        <f>+'Zał.1_WPF_bazowy'!#REF!</f>
        <v>#REF!</v>
      </c>
      <c r="AH85" s="157" t="e">
        <f>+'Zał.1_WPF_bazowy'!#REF!</f>
        <v>#REF!</v>
      </c>
      <c r="AI85" s="157" t="e">
        <f>+'Zał.1_WPF_bazowy'!#REF!</f>
        <v>#REF!</v>
      </c>
      <c r="AJ85" s="157" t="e">
        <f>+'Zał.1_WPF_bazowy'!#REF!</f>
        <v>#REF!</v>
      </c>
      <c r="AK85" s="157" t="e">
        <f>+'Zał.1_WPF_bazowy'!#REF!</f>
        <v>#REF!</v>
      </c>
      <c r="AL85" s="158" t="e">
        <f>+'Zał.1_WPF_bazowy'!#REF!</f>
        <v>#REF!</v>
      </c>
    </row>
    <row r="86" spans="1:38" ht="24" outlineLevel="2">
      <c r="A86" s="243"/>
      <c r="B86" s="30" t="s">
        <v>112</v>
      </c>
      <c r="C86" s="79"/>
      <c r="D86" s="199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5" t="e">
        <f>'Zał.1_WPF_bazowy'!#REF!</f>
        <v>#REF!</v>
      </c>
      <c r="I86" s="156">
        <f>+'Zał.1_WPF_bazowy'!E86</f>
        <v>2410061.55</v>
      </c>
      <c r="J86" s="157">
        <f>+'Zał.1_WPF_bazowy'!F86</f>
        <v>38833</v>
      </c>
      <c r="K86" s="157">
        <f>+'Zał.1_WPF_bazowy'!G86</f>
        <v>0</v>
      </c>
      <c r="L86" s="157">
        <f>+'Zał.1_WPF_bazowy'!H86</f>
        <v>0</v>
      </c>
      <c r="M86" s="157">
        <f>+'Zał.1_WPF_bazowy'!I86</f>
        <v>0</v>
      </c>
      <c r="N86" s="157">
        <f>+'Zał.1_WPF_bazowy'!J86</f>
        <v>0</v>
      </c>
      <c r="O86" s="157">
        <f>+'Zał.1_WPF_bazowy'!K86</f>
        <v>0</v>
      </c>
      <c r="P86" s="157">
        <f>+'Zał.1_WPF_bazowy'!L86</f>
        <v>0</v>
      </c>
      <c r="Q86" s="157">
        <f>+'Zał.1_WPF_bazowy'!M86</f>
        <v>0</v>
      </c>
      <c r="R86" s="157">
        <f>+'Zał.1_WPF_bazowy'!N86</f>
        <v>0</v>
      </c>
      <c r="S86" s="157" t="e">
        <f>+'Zał.1_WPF_bazowy'!#REF!</f>
        <v>#REF!</v>
      </c>
      <c r="T86" s="157" t="e">
        <f>+'Zał.1_WPF_bazowy'!#REF!</f>
        <v>#REF!</v>
      </c>
      <c r="U86" s="157" t="e">
        <f>+'Zał.1_WPF_bazowy'!#REF!</f>
        <v>#REF!</v>
      </c>
      <c r="V86" s="157" t="e">
        <f>+'Zał.1_WPF_bazowy'!#REF!</f>
        <v>#REF!</v>
      </c>
      <c r="W86" s="157" t="e">
        <f>+'Zał.1_WPF_bazowy'!#REF!</f>
        <v>#REF!</v>
      </c>
      <c r="X86" s="157" t="e">
        <f>+'Zał.1_WPF_bazowy'!#REF!</f>
        <v>#REF!</v>
      </c>
      <c r="Y86" s="157" t="e">
        <f>+'Zał.1_WPF_bazowy'!#REF!</f>
        <v>#REF!</v>
      </c>
      <c r="Z86" s="157" t="e">
        <f>+'Zał.1_WPF_bazowy'!#REF!</f>
        <v>#REF!</v>
      </c>
      <c r="AA86" s="157" t="e">
        <f>+'Zał.1_WPF_bazowy'!#REF!</f>
        <v>#REF!</v>
      </c>
      <c r="AB86" s="157" t="e">
        <f>+'Zał.1_WPF_bazowy'!#REF!</f>
        <v>#REF!</v>
      </c>
      <c r="AC86" s="157" t="e">
        <f>+'Zał.1_WPF_bazowy'!#REF!</f>
        <v>#REF!</v>
      </c>
      <c r="AD86" s="157" t="e">
        <f>+'Zał.1_WPF_bazowy'!#REF!</f>
        <v>#REF!</v>
      </c>
      <c r="AE86" s="157" t="e">
        <f>+'Zał.1_WPF_bazowy'!#REF!</f>
        <v>#REF!</v>
      </c>
      <c r="AF86" s="157" t="e">
        <f>+'Zał.1_WPF_bazowy'!#REF!</f>
        <v>#REF!</v>
      </c>
      <c r="AG86" s="157" t="e">
        <f>+'Zał.1_WPF_bazowy'!#REF!</f>
        <v>#REF!</v>
      </c>
      <c r="AH86" s="157" t="e">
        <f>+'Zał.1_WPF_bazowy'!#REF!</f>
        <v>#REF!</v>
      </c>
      <c r="AI86" s="157" t="e">
        <f>+'Zał.1_WPF_bazowy'!#REF!</f>
        <v>#REF!</v>
      </c>
      <c r="AJ86" s="157" t="e">
        <f>+'Zał.1_WPF_bazowy'!#REF!</f>
        <v>#REF!</v>
      </c>
      <c r="AK86" s="157" t="e">
        <f>+'Zał.1_WPF_bazowy'!#REF!</f>
        <v>#REF!</v>
      </c>
      <c r="AL86" s="158" t="e">
        <f>+'Zał.1_WPF_bazowy'!#REF!</f>
        <v>#REF!</v>
      </c>
    </row>
    <row r="87" spans="1:38" ht="36" outlineLevel="2">
      <c r="A87" s="243"/>
      <c r="B87" s="30" t="s">
        <v>377</v>
      </c>
      <c r="C87" s="79"/>
      <c r="D87" s="198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5" t="e">
        <f>'Zał.1_WPF_bazowy'!#REF!</f>
        <v>#REF!</v>
      </c>
      <c r="I87" s="156">
        <f>+'Zał.1_WPF_bazowy'!E87</f>
        <v>2268453.05</v>
      </c>
      <c r="J87" s="157">
        <f>+'Zał.1_WPF_bazowy'!F87</f>
        <v>2152802.25</v>
      </c>
      <c r="K87" s="157">
        <f>+'Zał.1_WPF_bazowy'!G87</f>
        <v>1375</v>
      </c>
      <c r="L87" s="157">
        <f>+'Zał.1_WPF_bazowy'!H87</f>
        <v>1375</v>
      </c>
      <c r="M87" s="157">
        <f>+'Zał.1_WPF_bazowy'!I87</f>
        <v>0</v>
      </c>
      <c r="N87" s="157">
        <f>+'Zał.1_WPF_bazowy'!J87</f>
        <v>0</v>
      </c>
      <c r="O87" s="157">
        <f>+'Zał.1_WPF_bazowy'!K87</f>
        <v>0</v>
      </c>
      <c r="P87" s="157">
        <f>+'Zał.1_WPF_bazowy'!L87</f>
        <v>0</v>
      </c>
      <c r="Q87" s="157">
        <f>+'Zał.1_WPF_bazowy'!M87</f>
        <v>0</v>
      </c>
      <c r="R87" s="157">
        <f>+'Zał.1_WPF_bazowy'!N87</f>
        <v>0</v>
      </c>
      <c r="S87" s="157" t="e">
        <f>+'Zał.1_WPF_bazowy'!#REF!</f>
        <v>#REF!</v>
      </c>
      <c r="T87" s="157" t="e">
        <f>+'Zał.1_WPF_bazowy'!#REF!</f>
        <v>#REF!</v>
      </c>
      <c r="U87" s="157" t="e">
        <f>+'Zał.1_WPF_bazowy'!#REF!</f>
        <v>#REF!</v>
      </c>
      <c r="V87" s="157" t="e">
        <f>+'Zał.1_WPF_bazowy'!#REF!</f>
        <v>#REF!</v>
      </c>
      <c r="W87" s="157" t="e">
        <f>+'Zał.1_WPF_bazowy'!#REF!</f>
        <v>#REF!</v>
      </c>
      <c r="X87" s="157" t="e">
        <f>+'Zał.1_WPF_bazowy'!#REF!</f>
        <v>#REF!</v>
      </c>
      <c r="Y87" s="157" t="e">
        <f>+'Zał.1_WPF_bazowy'!#REF!</f>
        <v>#REF!</v>
      </c>
      <c r="Z87" s="157" t="e">
        <f>+'Zał.1_WPF_bazowy'!#REF!</f>
        <v>#REF!</v>
      </c>
      <c r="AA87" s="157" t="e">
        <f>+'Zał.1_WPF_bazowy'!#REF!</f>
        <v>#REF!</v>
      </c>
      <c r="AB87" s="157" t="e">
        <f>+'Zał.1_WPF_bazowy'!#REF!</f>
        <v>#REF!</v>
      </c>
      <c r="AC87" s="157" t="e">
        <f>+'Zał.1_WPF_bazowy'!#REF!</f>
        <v>#REF!</v>
      </c>
      <c r="AD87" s="157" t="e">
        <f>+'Zał.1_WPF_bazowy'!#REF!</f>
        <v>#REF!</v>
      </c>
      <c r="AE87" s="157" t="e">
        <f>+'Zał.1_WPF_bazowy'!#REF!</f>
        <v>#REF!</v>
      </c>
      <c r="AF87" s="157" t="e">
        <f>+'Zał.1_WPF_bazowy'!#REF!</f>
        <v>#REF!</v>
      </c>
      <c r="AG87" s="157" t="e">
        <f>+'Zał.1_WPF_bazowy'!#REF!</f>
        <v>#REF!</v>
      </c>
      <c r="AH87" s="157" t="e">
        <f>+'Zał.1_WPF_bazowy'!#REF!</f>
        <v>#REF!</v>
      </c>
      <c r="AI87" s="157" t="e">
        <f>+'Zał.1_WPF_bazowy'!#REF!</f>
        <v>#REF!</v>
      </c>
      <c r="AJ87" s="157" t="e">
        <f>+'Zał.1_WPF_bazowy'!#REF!</f>
        <v>#REF!</v>
      </c>
      <c r="AK87" s="157" t="e">
        <f>+'Zał.1_WPF_bazowy'!#REF!</f>
        <v>#REF!</v>
      </c>
      <c r="AL87" s="158" t="e">
        <f>+'Zał.1_WPF_bazowy'!#REF!</f>
        <v>#REF!</v>
      </c>
    </row>
    <row r="88" spans="1:38" ht="14.25" outlineLevel="2">
      <c r="A88" s="243"/>
      <c r="B88" s="30" t="s">
        <v>379</v>
      </c>
      <c r="C88" s="79"/>
      <c r="D88" s="199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5" t="e">
        <f>'Zał.1_WPF_bazowy'!#REF!</f>
        <v>#REF!</v>
      </c>
      <c r="I88" s="156">
        <f>+'Zał.1_WPF_bazowy'!E88</f>
        <v>1558740</v>
      </c>
      <c r="J88" s="157">
        <f>+'Zał.1_WPF_bazowy'!F88</f>
        <v>53825.25</v>
      </c>
      <c r="K88" s="157">
        <f>+'Zał.1_WPF_bazowy'!G88</f>
        <v>0</v>
      </c>
      <c r="L88" s="157">
        <f>+'Zał.1_WPF_bazowy'!H88</f>
        <v>0</v>
      </c>
      <c r="M88" s="157">
        <f>+'Zał.1_WPF_bazowy'!I88</f>
        <v>0</v>
      </c>
      <c r="N88" s="157">
        <f>+'Zał.1_WPF_bazowy'!J88</f>
        <v>0</v>
      </c>
      <c r="O88" s="157">
        <f>+'Zał.1_WPF_bazowy'!K88</f>
        <v>0</v>
      </c>
      <c r="P88" s="157">
        <f>+'Zał.1_WPF_bazowy'!L88</f>
        <v>0</v>
      </c>
      <c r="Q88" s="157">
        <f>+'Zał.1_WPF_bazowy'!M88</f>
        <v>0</v>
      </c>
      <c r="R88" s="157">
        <f>+'Zał.1_WPF_bazowy'!N88</f>
        <v>0</v>
      </c>
      <c r="S88" s="157" t="e">
        <f>+'Zał.1_WPF_bazowy'!#REF!</f>
        <v>#REF!</v>
      </c>
      <c r="T88" s="157" t="e">
        <f>+'Zał.1_WPF_bazowy'!#REF!</f>
        <v>#REF!</v>
      </c>
      <c r="U88" s="157" t="e">
        <f>+'Zał.1_WPF_bazowy'!#REF!</f>
        <v>#REF!</v>
      </c>
      <c r="V88" s="157" t="e">
        <f>+'Zał.1_WPF_bazowy'!#REF!</f>
        <v>#REF!</v>
      </c>
      <c r="W88" s="157" t="e">
        <f>+'Zał.1_WPF_bazowy'!#REF!</f>
        <v>#REF!</v>
      </c>
      <c r="X88" s="157" t="e">
        <f>+'Zał.1_WPF_bazowy'!#REF!</f>
        <v>#REF!</v>
      </c>
      <c r="Y88" s="157" t="e">
        <f>+'Zał.1_WPF_bazowy'!#REF!</f>
        <v>#REF!</v>
      </c>
      <c r="Z88" s="157" t="e">
        <f>+'Zał.1_WPF_bazowy'!#REF!</f>
        <v>#REF!</v>
      </c>
      <c r="AA88" s="157" t="e">
        <f>+'Zał.1_WPF_bazowy'!#REF!</f>
        <v>#REF!</v>
      </c>
      <c r="AB88" s="157" t="e">
        <f>+'Zał.1_WPF_bazowy'!#REF!</f>
        <v>#REF!</v>
      </c>
      <c r="AC88" s="157" t="e">
        <f>+'Zał.1_WPF_bazowy'!#REF!</f>
        <v>#REF!</v>
      </c>
      <c r="AD88" s="157" t="e">
        <f>+'Zał.1_WPF_bazowy'!#REF!</f>
        <v>#REF!</v>
      </c>
      <c r="AE88" s="157" t="e">
        <f>+'Zał.1_WPF_bazowy'!#REF!</f>
        <v>#REF!</v>
      </c>
      <c r="AF88" s="157" t="e">
        <f>+'Zał.1_WPF_bazowy'!#REF!</f>
        <v>#REF!</v>
      </c>
      <c r="AG88" s="157" t="e">
        <f>+'Zał.1_WPF_bazowy'!#REF!</f>
        <v>#REF!</v>
      </c>
      <c r="AH88" s="157" t="e">
        <f>+'Zał.1_WPF_bazowy'!#REF!</f>
        <v>#REF!</v>
      </c>
      <c r="AI88" s="157" t="e">
        <f>+'Zał.1_WPF_bazowy'!#REF!</f>
        <v>#REF!</v>
      </c>
      <c r="AJ88" s="157" t="e">
        <f>+'Zał.1_WPF_bazowy'!#REF!</f>
        <v>#REF!</v>
      </c>
      <c r="AK88" s="157" t="e">
        <f>+'Zał.1_WPF_bazowy'!#REF!</f>
        <v>#REF!</v>
      </c>
      <c r="AL88" s="158" t="e">
        <f>+'Zał.1_WPF_bazowy'!#REF!</f>
        <v>#REF!</v>
      </c>
    </row>
    <row r="89" spans="1:38" ht="36" outlineLevel="2">
      <c r="A89" s="243"/>
      <c r="B89" s="30" t="s">
        <v>381</v>
      </c>
      <c r="C89" s="79"/>
      <c r="D89" s="198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5" t="e">
        <f>'Zał.1_WPF_bazowy'!#REF!</f>
        <v>#REF!</v>
      </c>
      <c r="I89" s="156">
        <f>+'Zał.1_WPF_bazowy'!E89</f>
        <v>2268453.05</v>
      </c>
      <c r="J89" s="157">
        <f>+'Zał.1_WPF_bazowy'!F89</f>
        <v>1238969.25</v>
      </c>
      <c r="K89" s="157">
        <f>+'Zał.1_WPF_bazowy'!G89</f>
        <v>0</v>
      </c>
      <c r="L89" s="157">
        <f>+'Zał.1_WPF_bazowy'!H89</f>
        <v>0</v>
      </c>
      <c r="M89" s="157">
        <f>+'Zał.1_WPF_bazowy'!I89</f>
        <v>0</v>
      </c>
      <c r="N89" s="157">
        <f>+'Zał.1_WPF_bazowy'!J89</f>
        <v>0</v>
      </c>
      <c r="O89" s="157">
        <f>+'Zał.1_WPF_bazowy'!K89</f>
        <v>0</v>
      </c>
      <c r="P89" s="157">
        <f>+'Zał.1_WPF_bazowy'!L89</f>
        <v>0</v>
      </c>
      <c r="Q89" s="157">
        <f>+'Zał.1_WPF_bazowy'!M89</f>
        <v>0</v>
      </c>
      <c r="R89" s="157">
        <f>+'Zał.1_WPF_bazowy'!N89</f>
        <v>0</v>
      </c>
      <c r="S89" s="157" t="e">
        <f>+'Zał.1_WPF_bazowy'!#REF!</f>
        <v>#REF!</v>
      </c>
      <c r="T89" s="157" t="e">
        <f>+'Zał.1_WPF_bazowy'!#REF!</f>
        <v>#REF!</v>
      </c>
      <c r="U89" s="157" t="e">
        <f>+'Zał.1_WPF_bazowy'!#REF!</f>
        <v>#REF!</v>
      </c>
      <c r="V89" s="157" t="e">
        <f>+'Zał.1_WPF_bazowy'!#REF!</f>
        <v>#REF!</v>
      </c>
      <c r="W89" s="157" t="e">
        <f>+'Zał.1_WPF_bazowy'!#REF!</f>
        <v>#REF!</v>
      </c>
      <c r="X89" s="157" t="e">
        <f>+'Zał.1_WPF_bazowy'!#REF!</f>
        <v>#REF!</v>
      </c>
      <c r="Y89" s="157" t="e">
        <f>+'Zał.1_WPF_bazowy'!#REF!</f>
        <v>#REF!</v>
      </c>
      <c r="Z89" s="157" t="e">
        <f>+'Zał.1_WPF_bazowy'!#REF!</f>
        <v>#REF!</v>
      </c>
      <c r="AA89" s="157" t="e">
        <f>+'Zał.1_WPF_bazowy'!#REF!</f>
        <v>#REF!</v>
      </c>
      <c r="AB89" s="157" t="e">
        <f>+'Zał.1_WPF_bazowy'!#REF!</f>
        <v>#REF!</v>
      </c>
      <c r="AC89" s="157" t="e">
        <f>+'Zał.1_WPF_bazowy'!#REF!</f>
        <v>#REF!</v>
      </c>
      <c r="AD89" s="157" t="e">
        <f>+'Zał.1_WPF_bazowy'!#REF!</f>
        <v>#REF!</v>
      </c>
      <c r="AE89" s="157" t="e">
        <f>+'Zał.1_WPF_bazowy'!#REF!</f>
        <v>#REF!</v>
      </c>
      <c r="AF89" s="157" t="e">
        <f>+'Zał.1_WPF_bazowy'!#REF!</f>
        <v>#REF!</v>
      </c>
      <c r="AG89" s="157" t="e">
        <f>+'Zał.1_WPF_bazowy'!#REF!</f>
        <v>#REF!</v>
      </c>
      <c r="AH89" s="157" t="e">
        <f>+'Zał.1_WPF_bazowy'!#REF!</f>
        <v>#REF!</v>
      </c>
      <c r="AI89" s="157" t="e">
        <f>+'Zał.1_WPF_bazowy'!#REF!</f>
        <v>#REF!</v>
      </c>
      <c r="AJ89" s="157" t="e">
        <f>+'Zał.1_WPF_bazowy'!#REF!</f>
        <v>#REF!</v>
      </c>
      <c r="AK89" s="157" t="e">
        <f>+'Zał.1_WPF_bazowy'!#REF!</f>
        <v>#REF!</v>
      </c>
      <c r="AL89" s="158" t="e">
        <f>+'Zał.1_WPF_bazowy'!#REF!</f>
        <v>#REF!</v>
      </c>
    </row>
    <row r="90" spans="1:38" ht="14.25" outlineLevel="2">
      <c r="A90" s="243"/>
      <c r="B90" s="30" t="s">
        <v>383</v>
      </c>
      <c r="C90" s="79"/>
      <c r="D90" s="199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5" t="e">
        <f>'Zał.1_WPF_bazowy'!#REF!</f>
        <v>#REF!</v>
      </c>
      <c r="I90" s="156">
        <f>+'Zał.1_WPF_bazowy'!E90</f>
        <v>1558740</v>
      </c>
      <c r="J90" s="157">
        <f>+'Zał.1_WPF_bazowy'!F90</f>
        <v>53825.25</v>
      </c>
      <c r="K90" s="157">
        <f>+'Zał.1_WPF_bazowy'!G90</f>
        <v>0</v>
      </c>
      <c r="L90" s="157">
        <f>+'Zał.1_WPF_bazowy'!H90</f>
        <v>0</v>
      </c>
      <c r="M90" s="157">
        <f>+'Zał.1_WPF_bazowy'!I90</f>
        <v>0</v>
      </c>
      <c r="N90" s="157">
        <f>+'Zał.1_WPF_bazowy'!J90</f>
        <v>0</v>
      </c>
      <c r="O90" s="157">
        <f>+'Zał.1_WPF_bazowy'!K90</f>
        <v>0</v>
      </c>
      <c r="P90" s="157">
        <f>+'Zał.1_WPF_bazowy'!L90</f>
        <v>0</v>
      </c>
      <c r="Q90" s="157">
        <f>+'Zał.1_WPF_bazowy'!M90</f>
        <v>0</v>
      </c>
      <c r="R90" s="157">
        <f>+'Zał.1_WPF_bazowy'!N90</f>
        <v>0</v>
      </c>
      <c r="S90" s="157" t="e">
        <f>+'Zał.1_WPF_bazowy'!#REF!</f>
        <v>#REF!</v>
      </c>
      <c r="T90" s="157" t="e">
        <f>+'Zał.1_WPF_bazowy'!#REF!</f>
        <v>#REF!</v>
      </c>
      <c r="U90" s="157" t="e">
        <f>+'Zał.1_WPF_bazowy'!#REF!</f>
        <v>#REF!</v>
      </c>
      <c r="V90" s="157" t="e">
        <f>+'Zał.1_WPF_bazowy'!#REF!</f>
        <v>#REF!</v>
      </c>
      <c r="W90" s="157" t="e">
        <f>+'Zał.1_WPF_bazowy'!#REF!</f>
        <v>#REF!</v>
      </c>
      <c r="X90" s="157" t="e">
        <f>+'Zał.1_WPF_bazowy'!#REF!</f>
        <v>#REF!</v>
      </c>
      <c r="Y90" s="157" t="e">
        <f>+'Zał.1_WPF_bazowy'!#REF!</f>
        <v>#REF!</v>
      </c>
      <c r="Z90" s="157" t="e">
        <f>+'Zał.1_WPF_bazowy'!#REF!</f>
        <v>#REF!</v>
      </c>
      <c r="AA90" s="157" t="e">
        <f>+'Zał.1_WPF_bazowy'!#REF!</f>
        <v>#REF!</v>
      </c>
      <c r="AB90" s="157" t="e">
        <f>+'Zał.1_WPF_bazowy'!#REF!</f>
        <v>#REF!</v>
      </c>
      <c r="AC90" s="157" t="e">
        <f>+'Zał.1_WPF_bazowy'!#REF!</f>
        <v>#REF!</v>
      </c>
      <c r="AD90" s="157" t="e">
        <f>+'Zał.1_WPF_bazowy'!#REF!</f>
        <v>#REF!</v>
      </c>
      <c r="AE90" s="157" t="e">
        <f>+'Zał.1_WPF_bazowy'!#REF!</f>
        <v>#REF!</v>
      </c>
      <c r="AF90" s="157" t="e">
        <f>+'Zał.1_WPF_bazowy'!#REF!</f>
        <v>#REF!</v>
      </c>
      <c r="AG90" s="157" t="e">
        <f>+'Zał.1_WPF_bazowy'!#REF!</f>
        <v>#REF!</v>
      </c>
      <c r="AH90" s="157" t="e">
        <f>+'Zał.1_WPF_bazowy'!#REF!</f>
        <v>#REF!</v>
      </c>
      <c r="AI90" s="157" t="e">
        <f>+'Zał.1_WPF_bazowy'!#REF!</f>
        <v>#REF!</v>
      </c>
      <c r="AJ90" s="157" t="e">
        <f>+'Zał.1_WPF_bazowy'!#REF!</f>
        <v>#REF!</v>
      </c>
      <c r="AK90" s="157" t="e">
        <f>+'Zał.1_WPF_bazowy'!#REF!</f>
        <v>#REF!</v>
      </c>
      <c r="AL90" s="158" t="e">
        <f>+'Zał.1_WPF_bazowy'!#REF!</f>
        <v>#REF!</v>
      </c>
    </row>
    <row r="91" spans="1:38" ht="36" outlineLevel="2">
      <c r="A91" s="243"/>
      <c r="B91" s="30" t="s">
        <v>384</v>
      </c>
      <c r="C91" s="79"/>
      <c r="D91" s="198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5" t="e">
        <f>'Zał.1_WPF_bazowy'!#REF!</f>
        <v>#REF!</v>
      </c>
      <c r="I91" s="156">
        <f>+'Zał.1_WPF_bazowy'!E91</f>
        <v>0</v>
      </c>
      <c r="J91" s="157">
        <f>+'Zał.1_WPF_bazowy'!F91</f>
        <v>0</v>
      </c>
      <c r="K91" s="157">
        <f>+'Zał.1_WPF_bazowy'!G91</f>
        <v>0</v>
      </c>
      <c r="L91" s="157">
        <f>+'Zał.1_WPF_bazowy'!H91</f>
        <v>0</v>
      </c>
      <c r="M91" s="157">
        <f>+'Zał.1_WPF_bazowy'!I91</f>
        <v>0</v>
      </c>
      <c r="N91" s="157">
        <f>+'Zał.1_WPF_bazowy'!J91</f>
        <v>0</v>
      </c>
      <c r="O91" s="157">
        <f>+'Zał.1_WPF_bazowy'!K91</f>
        <v>0</v>
      </c>
      <c r="P91" s="157">
        <f>+'Zał.1_WPF_bazowy'!L91</f>
        <v>0</v>
      </c>
      <c r="Q91" s="157">
        <f>+'Zał.1_WPF_bazowy'!M91</f>
        <v>0</v>
      </c>
      <c r="R91" s="157">
        <f>+'Zał.1_WPF_bazowy'!N91</f>
        <v>0</v>
      </c>
      <c r="S91" s="157" t="e">
        <f>+'Zał.1_WPF_bazowy'!#REF!</f>
        <v>#REF!</v>
      </c>
      <c r="T91" s="157" t="e">
        <f>+'Zał.1_WPF_bazowy'!#REF!</f>
        <v>#REF!</v>
      </c>
      <c r="U91" s="157" t="e">
        <f>+'Zał.1_WPF_bazowy'!#REF!</f>
        <v>#REF!</v>
      </c>
      <c r="V91" s="157" t="e">
        <f>+'Zał.1_WPF_bazowy'!#REF!</f>
        <v>#REF!</v>
      </c>
      <c r="W91" s="157" t="e">
        <f>+'Zał.1_WPF_bazowy'!#REF!</f>
        <v>#REF!</v>
      </c>
      <c r="X91" s="157" t="e">
        <f>+'Zał.1_WPF_bazowy'!#REF!</f>
        <v>#REF!</v>
      </c>
      <c r="Y91" s="157" t="e">
        <f>+'Zał.1_WPF_bazowy'!#REF!</f>
        <v>#REF!</v>
      </c>
      <c r="Z91" s="157" t="e">
        <f>+'Zał.1_WPF_bazowy'!#REF!</f>
        <v>#REF!</v>
      </c>
      <c r="AA91" s="157" t="e">
        <f>+'Zał.1_WPF_bazowy'!#REF!</f>
        <v>#REF!</v>
      </c>
      <c r="AB91" s="157" t="e">
        <f>+'Zał.1_WPF_bazowy'!#REF!</f>
        <v>#REF!</v>
      </c>
      <c r="AC91" s="157" t="e">
        <f>+'Zał.1_WPF_bazowy'!#REF!</f>
        <v>#REF!</v>
      </c>
      <c r="AD91" s="157" t="e">
        <f>+'Zał.1_WPF_bazowy'!#REF!</f>
        <v>#REF!</v>
      </c>
      <c r="AE91" s="157" t="e">
        <f>+'Zał.1_WPF_bazowy'!#REF!</f>
        <v>#REF!</v>
      </c>
      <c r="AF91" s="157" t="e">
        <f>+'Zał.1_WPF_bazowy'!#REF!</f>
        <v>#REF!</v>
      </c>
      <c r="AG91" s="157" t="e">
        <f>+'Zał.1_WPF_bazowy'!#REF!</f>
        <v>#REF!</v>
      </c>
      <c r="AH91" s="157" t="e">
        <f>+'Zał.1_WPF_bazowy'!#REF!</f>
        <v>#REF!</v>
      </c>
      <c r="AI91" s="157" t="e">
        <f>+'Zał.1_WPF_bazowy'!#REF!</f>
        <v>#REF!</v>
      </c>
      <c r="AJ91" s="157" t="e">
        <f>+'Zał.1_WPF_bazowy'!#REF!</f>
        <v>#REF!</v>
      </c>
      <c r="AK91" s="157" t="e">
        <f>+'Zał.1_WPF_bazowy'!#REF!</f>
        <v>#REF!</v>
      </c>
      <c r="AL91" s="158" t="e">
        <f>+'Zał.1_WPF_bazowy'!#REF!</f>
        <v>#REF!</v>
      </c>
    </row>
    <row r="92" spans="1:38" ht="14.25" outlineLevel="2">
      <c r="A92" s="243"/>
      <c r="B92" s="30" t="s">
        <v>386</v>
      </c>
      <c r="C92" s="79"/>
      <c r="D92" s="199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5" t="e">
        <f>'Zał.1_WPF_bazowy'!#REF!</f>
        <v>#REF!</v>
      </c>
      <c r="I92" s="156">
        <f>+'Zał.1_WPF_bazowy'!E92</f>
        <v>0</v>
      </c>
      <c r="J92" s="157">
        <f>+'Zał.1_WPF_bazowy'!F92</f>
        <v>0</v>
      </c>
      <c r="K92" s="157">
        <f>+'Zał.1_WPF_bazowy'!G92</f>
        <v>0</v>
      </c>
      <c r="L92" s="157">
        <f>+'Zał.1_WPF_bazowy'!H92</f>
        <v>0</v>
      </c>
      <c r="M92" s="157">
        <f>+'Zał.1_WPF_bazowy'!I92</f>
        <v>0</v>
      </c>
      <c r="N92" s="157">
        <f>+'Zał.1_WPF_bazowy'!J92</f>
        <v>0</v>
      </c>
      <c r="O92" s="157">
        <f>+'Zał.1_WPF_bazowy'!K92</f>
        <v>0</v>
      </c>
      <c r="P92" s="157">
        <f>+'Zał.1_WPF_bazowy'!L92</f>
        <v>0</v>
      </c>
      <c r="Q92" s="157">
        <f>+'Zał.1_WPF_bazowy'!M92</f>
        <v>0</v>
      </c>
      <c r="R92" s="157">
        <f>+'Zał.1_WPF_bazowy'!N92</f>
        <v>0</v>
      </c>
      <c r="S92" s="157" t="e">
        <f>+'Zał.1_WPF_bazowy'!#REF!</f>
        <v>#REF!</v>
      </c>
      <c r="T92" s="157" t="e">
        <f>+'Zał.1_WPF_bazowy'!#REF!</f>
        <v>#REF!</v>
      </c>
      <c r="U92" s="157" t="e">
        <f>+'Zał.1_WPF_bazowy'!#REF!</f>
        <v>#REF!</v>
      </c>
      <c r="V92" s="157" t="e">
        <f>+'Zał.1_WPF_bazowy'!#REF!</f>
        <v>#REF!</v>
      </c>
      <c r="W92" s="157" t="e">
        <f>+'Zał.1_WPF_bazowy'!#REF!</f>
        <v>#REF!</v>
      </c>
      <c r="X92" s="157" t="e">
        <f>+'Zał.1_WPF_bazowy'!#REF!</f>
        <v>#REF!</v>
      </c>
      <c r="Y92" s="157" t="e">
        <f>+'Zał.1_WPF_bazowy'!#REF!</f>
        <v>#REF!</v>
      </c>
      <c r="Z92" s="157" t="e">
        <f>+'Zał.1_WPF_bazowy'!#REF!</f>
        <v>#REF!</v>
      </c>
      <c r="AA92" s="157" t="e">
        <f>+'Zał.1_WPF_bazowy'!#REF!</f>
        <v>#REF!</v>
      </c>
      <c r="AB92" s="157" t="e">
        <f>+'Zał.1_WPF_bazowy'!#REF!</f>
        <v>#REF!</v>
      </c>
      <c r="AC92" s="157" t="e">
        <f>+'Zał.1_WPF_bazowy'!#REF!</f>
        <v>#REF!</v>
      </c>
      <c r="AD92" s="157" t="e">
        <f>+'Zał.1_WPF_bazowy'!#REF!</f>
        <v>#REF!</v>
      </c>
      <c r="AE92" s="157" t="e">
        <f>+'Zał.1_WPF_bazowy'!#REF!</f>
        <v>#REF!</v>
      </c>
      <c r="AF92" s="157" t="e">
        <f>+'Zał.1_WPF_bazowy'!#REF!</f>
        <v>#REF!</v>
      </c>
      <c r="AG92" s="157" t="e">
        <f>+'Zał.1_WPF_bazowy'!#REF!</f>
        <v>#REF!</v>
      </c>
      <c r="AH92" s="157" t="e">
        <f>+'Zał.1_WPF_bazowy'!#REF!</f>
        <v>#REF!</v>
      </c>
      <c r="AI92" s="157" t="e">
        <f>+'Zał.1_WPF_bazowy'!#REF!</f>
        <v>#REF!</v>
      </c>
      <c r="AJ92" s="157" t="e">
        <f>+'Zał.1_WPF_bazowy'!#REF!</f>
        <v>#REF!</v>
      </c>
      <c r="AK92" s="157" t="e">
        <f>+'Zał.1_WPF_bazowy'!#REF!</f>
        <v>#REF!</v>
      </c>
      <c r="AL92" s="158" t="e">
        <f>+'Zał.1_WPF_bazowy'!#REF!</f>
        <v>#REF!</v>
      </c>
    </row>
    <row r="93" spans="1:38" ht="36" outlineLevel="2">
      <c r="A93" s="243"/>
      <c r="B93" s="30" t="s">
        <v>387</v>
      </c>
      <c r="C93" s="79"/>
      <c r="D93" s="198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5" t="e">
        <f>'Zał.1_WPF_bazowy'!#REF!</f>
        <v>#REF!</v>
      </c>
      <c r="I93" s="156">
        <f>+'Zał.1_WPF_bazowy'!E93</f>
        <v>0</v>
      </c>
      <c r="J93" s="157">
        <f>+'Zał.1_WPF_bazowy'!F93</f>
        <v>0</v>
      </c>
      <c r="K93" s="157">
        <f>+'Zał.1_WPF_bazowy'!G93</f>
        <v>0</v>
      </c>
      <c r="L93" s="157">
        <f>+'Zał.1_WPF_bazowy'!H93</f>
        <v>0</v>
      </c>
      <c r="M93" s="157">
        <f>+'Zał.1_WPF_bazowy'!I93</f>
        <v>0</v>
      </c>
      <c r="N93" s="157">
        <f>+'Zał.1_WPF_bazowy'!J93</f>
        <v>0</v>
      </c>
      <c r="O93" s="157">
        <f>+'Zał.1_WPF_bazowy'!K93</f>
        <v>0</v>
      </c>
      <c r="P93" s="157">
        <f>+'Zał.1_WPF_bazowy'!L93</f>
        <v>0</v>
      </c>
      <c r="Q93" s="157">
        <f>+'Zał.1_WPF_bazowy'!M93</f>
        <v>0</v>
      </c>
      <c r="R93" s="157">
        <f>+'Zał.1_WPF_bazowy'!N93</f>
        <v>0</v>
      </c>
      <c r="S93" s="157" t="e">
        <f>+'Zał.1_WPF_bazowy'!#REF!</f>
        <v>#REF!</v>
      </c>
      <c r="T93" s="157" t="e">
        <f>+'Zał.1_WPF_bazowy'!#REF!</f>
        <v>#REF!</v>
      </c>
      <c r="U93" s="157" t="e">
        <f>+'Zał.1_WPF_bazowy'!#REF!</f>
        <v>#REF!</v>
      </c>
      <c r="V93" s="157" t="e">
        <f>+'Zał.1_WPF_bazowy'!#REF!</f>
        <v>#REF!</v>
      </c>
      <c r="W93" s="157" t="e">
        <f>+'Zał.1_WPF_bazowy'!#REF!</f>
        <v>#REF!</v>
      </c>
      <c r="X93" s="157" t="e">
        <f>+'Zał.1_WPF_bazowy'!#REF!</f>
        <v>#REF!</v>
      </c>
      <c r="Y93" s="157" t="e">
        <f>+'Zał.1_WPF_bazowy'!#REF!</f>
        <v>#REF!</v>
      </c>
      <c r="Z93" s="157" t="e">
        <f>+'Zał.1_WPF_bazowy'!#REF!</f>
        <v>#REF!</v>
      </c>
      <c r="AA93" s="157" t="e">
        <f>+'Zał.1_WPF_bazowy'!#REF!</f>
        <v>#REF!</v>
      </c>
      <c r="AB93" s="157" t="e">
        <f>+'Zał.1_WPF_bazowy'!#REF!</f>
        <v>#REF!</v>
      </c>
      <c r="AC93" s="157" t="e">
        <f>+'Zał.1_WPF_bazowy'!#REF!</f>
        <v>#REF!</v>
      </c>
      <c r="AD93" s="157" t="e">
        <f>+'Zał.1_WPF_bazowy'!#REF!</f>
        <v>#REF!</v>
      </c>
      <c r="AE93" s="157" t="e">
        <f>+'Zał.1_WPF_bazowy'!#REF!</f>
        <v>#REF!</v>
      </c>
      <c r="AF93" s="157" t="e">
        <f>+'Zał.1_WPF_bazowy'!#REF!</f>
        <v>#REF!</v>
      </c>
      <c r="AG93" s="157" t="e">
        <f>+'Zał.1_WPF_bazowy'!#REF!</f>
        <v>#REF!</v>
      </c>
      <c r="AH93" s="157" t="e">
        <f>+'Zał.1_WPF_bazowy'!#REF!</f>
        <v>#REF!</v>
      </c>
      <c r="AI93" s="157" t="e">
        <f>+'Zał.1_WPF_bazowy'!#REF!</f>
        <v>#REF!</v>
      </c>
      <c r="AJ93" s="157" t="e">
        <f>+'Zał.1_WPF_bazowy'!#REF!</f>
        <v>#REF!</v>
      </c>
      <c r="AK93" s="157" t="e">
        <f>+'Zał.1_WPF_bazowy'!#REF!</f>
        <v>#REF!</v>
      </c>
      <c r="AL93" s="158" t="e">
        <f>+'Zał.1_WPF_bazowy'!#REF!</f>
        <v>#REF!</v>
      </c>
    </row>
    <row r="94" spans="1:38" ht="14.25" outlineLevel="2">
      <c r="A94" s="243"/>
      <c r="B94" s="30" t="s">
        <v>389</v>
      </c>
      <c r="C94" s="79"/>
      <c r="D94" s="199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5" t="e">
        <f>'Zał.1_WPF_bazowy'!#REF!</f>
        <v>#REF!</v>
      </c>
      <c r="I94" s="156">
        <f>+'Zał.1_WPF_bazowy'!E94</f>
        <v>0</v>
      </c>
      <c r="J94" s="157">
        <f>+'Zał.1_WPF_bazowy'!F94</f>
        <v>0</v>
      </c>
      <c r="K94" s="157">
        <f>+'Zał.1_WPF_bazowy'!G94</f>
        <v>0</v>
      </c>
      <c r="L94" s="157">
        <f>+'Zał.1_WPF_bazowy'!H94</f>
        <v>0</v>
      </c>
      <c r="M94" s="157">
        <f>+'Zał.1_WPF_bazowy'!I94</f>
        <v>0</v>
      </c>
      <c r="N94" s="157">
        <f>+'Zał.1_WPF_bazowy'!J94</f>
        <v>0</v>
      </c>
      <c r="O94" s="157">
        <f>+'Zał.1_WPF_bazowy'!K94</f>
        <v>0</v>
      </c>
      <c r="P94" s="157">
        <f>+'Zał.1_WPF_bazowy'!L94</f>
        <v>0</v>
      </c>
      <c r="Q94" s="157">
        <f>+'Zał.1_WPF_bazowy'!M94</f>
        <v>0</v>
      </c>
      <c r="R94" s="157">
        <f>+'Zał.1_WPF_bazowy'!N94</f>
        <v>0</v>
      </c>
      <c r="S94" s="157" t="e">
        <f>+'Zał.1_WPF_bazowy'!#REF!</f>
        <v>#REF!</v>
      </c>
      <c r="T94" s="157" t="e">
        <f>+'Zał.1_WPF_bazowy'!#REF!</f>
        <v>#REF!</v>
      </c>
      <c r="U94" s="157" t="e">
        <f>+'Zał.1_WPF_bazowy'!#REF!</f>
        <v>#REF!</v>
      </c>
      <c r="V94" s="157" t="e">
        <f>+'Zał.1_WPF_bazowy'!#REF!</f>
        <v>#REF!</v>
      </c>
      <c r="W94" s="157" t="e">
        <f>+'Zał.1_WPF_bazowy'!#REF!</f>
        <v>#REF!</v>
      </c>
      <c r="X94" s="157" t="e">
        <f>+'Zał.1_WPF_bazowy'!#REF!</f>
        <v>#REF!</v>
      </c>
      <c r="Y94" s="157" t="e">
        <f>+'Zał.1_WPF_bazowy'!#REF!</f>
        <v>#REF!</v>
      </c>
      <c r="Z94" s="157" t="e">
        <f>+'Zał.1_WPF_bazowy'!#REF!</f>
        <v>#REF!</v>
      </c>
      <c r="AA94" s="157" t="e">
        <f>+'Zał.1_WPF_bazowy'!#REF!</f>
        <v>#REF!</v>
      </c>
      <c r="AB94" s="157" t="e">
        <f>+'Zał.1_WPF_bazowy'!#REF!</f>
        <v>#REF!</v>
      </c>
      <c r="AC94" s="157" t="e">
        <f>+'Zał.1_WPF_bazowy'!#REF!</f>
        <v>#REF!</v>
      </c>
      <c r="AD94" s="157" t="e">
        <f>+'Zał.1_WPF_bazowy'!#REF!</f>
        <v>#REF!</v>
      </c>
      <c r="AE94" s="157" t="e">
        <f>+'Zał.1_WPF_bazowy'!#REF!</f>
        <v>#REF!</v>
      </c>
      <c r="AF94" s="157" t="e">
        <f>+'Zał.1_WPF_bazowy'!#REF!</f>
        <v>#REF!</v>
      </c>
      <c r="AG94" s="157" t="e">
        <f>+'Zał.1_WPF_bazowy'!#REF!</f>
        <v>#REF!</v>
      </c>
      <c r="AH94" s="157" t="e">
        <f>+'Zał.1_WPF_bazowy'!#REF!</f>
        <v>#REF!</v>
      </c>
      <c r="AI94" s="157" t="e">
        <f>+'Zał.1_WPF_bazowy'!#REF!</f>
        <v>#REF!</v>
      </c>
      <c r="AJ94" s="157" t="e">
        <f>+'Zał.1_WPF_bazowy'!#REF!</f>
        <v>#REF!</v>
      </c>
      <c r="AK94" s="157" t="e">
        <f>+'Zał.1_WPF_bazowy'!#REF!</f>
        <v>#REF!</v>
      </c>
      <c r="AL94" s="158" t="e">
        <f>+'Zał.1_WPF_bazowy'!#REF!</f>
        <v>#REF!</v>
      </c>
    </row>
    <row r="95" spans="1:38" s="77" customFormat="1" ht="24" outlineLevel="1">
      <c r="A95" s="243"/>
      <c r="B95" s="29">
        <v>13</v>
      </c>
      <c r="C95" s="260"/>
      <c r="D95" s="196" t="s">
        <v>114</v>
      </c>
      <c r="E95" s="133" t="s">
        <v>28</v>
      </c>
      <c r="F95" s="134" t="s">
        <v>28</v>
      </c>
      <c r="G95" s="134" t="s">
        <v>28</v>
      </c>
      <c r="H95" s="166" t="s">
        <v>28</v>
      </c>
      <c r="I95" s="167" t="s">
        <v>28</v>
      </c>
      <c r="J95" s="168" t="s">
        <v>28</v>
      </c>
      <c r="K95" s="168" t="s">
        <v>28</v>
      </c>
      <c r="L95" s="168" t="s">
        <v>28</v>
      </c>
      <c r="M95" s="168" t="s">
        <v>28</v>
      </c>
      <c r="N95" s="168" t="s">
        <v>28</v>
      </c>
      <c r="O95" s="168" t="s">
        <v>28</v>
      </c>
      <c r="P95" s="168" t="s">
        <v>28</v>
      </c>
      <c r="Q95" s="168" t="s">
        <v>28</v>
      </c>
      <c r="R95" s="168" t="s">
        <v>28</v>
      </c>
      <c r="S95" s="168" t="s">
        <v>28</v>
      </c>
      <c r="T95" s="168" t="s">
        <v>28</v>
      </c>
      <c r="U95" s="168" t="s">
        <v>28</v>
      </c>
      <c r="V95" s="168" t="s">
        <v>28</v>
      </c>
      <c r="W95" s="168" t="s">
        <v>28</v>
      </c>
      <c r="X95" s="168" t="s">
        <v>28</v>
      </c>
      <c r="Y95" s="168" t="s">
        <v>28</v>
      </c>
      <c r="Z95" s="168" t="s">
        <v>28</v>
      </c>
      <c r="AA95" s="168" t="s">
        <v>28</v>
      </c>
      <c r="AB95" s="168" t="s">
        <v>28</v>
      </c>
      <c r="AC95" s="168" t="s">
        <v>28</v>
      </c>
      <c r="AD95" s="168" t="s">
        <v>28</v>
      </c>
      <c r="AE95" s="168" t="s">
        <v>28</v>
      </c>
      <c r="AF95" s="168" t="s">
        <v>28</v>
      </c>
      <c r="AG95" s="168" t="s">
        <v>28</v>
      </c>
      <c r="AH95" s="168" t="s">
        <v>28</v>
      </c>
      <c r="AI95" s="168" t="s">
        <v>28</v>
      </c>
      <c r="AJ95" s="168" t="s">
        <v>28</v>
      </c>
      <c r="AK95" s="168" t="s">
        <v>28</v>
      </c>
      <c r="AL95" s="169" t="s">
        <v>28</v>
      </c>
    </row>
    <row r="96" spans="1:38" ht="24" outlineLevel="2">
      <c r="A96" s="243"/>
      <c r="B96" s="30" t="s">
        <v>164</v>
      </c>
      <c r="C96" s="79"/>
      <c r="D96" s="198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5" t="e">
        <f>'Zał.1_WPF_bazowy'!#REF!</f>
        <v>#REF!</v>
      </c>
      <c r="I96" s="170" t="e">
        <f aca="true" t="shared" si="19" ref="I96:AL96">+IF(I10&lt;&gt;0,H96-(I98+I99+I100+I101),0)</f>
        <v>#REF!</v>
      </c>
      <c r="J96" s="171" t="e">
        <f t="shared" si="19"/>
        <v>#REF!</v>
      </c>
      <c r="K96" s="171" t="e">
        <f t="shared" si="19"/>
        <v>#REF!</v>
      </c>
      <c r="L96" s="171" t="e">
        <f t="shared" si="19"/>
        <v>#REF!</v>
      </c>
      <c r="M96" s="171" t="e">
        <f t="shared" si="19"/>
        <v>#REF!</v>
      </c>
      <c r="N96" s="171" t="e">
        <f t="shared" si="19"/>
        <v>#REF!</v>
      </c>
      <c r="O96" s="171" t="e">
        <f t="shared" si="19"/>
        <v>#REF!</v>
      </c>
      <c r="P96" s="171" t="e">
        <f t="shared" si="19"/>
        <v>#REF!</v>
      </c>
      <c r="Q96" s="171" t="e">
        <f t="shared" si="19"/>
        <v>#REF!</v>
      </c>
      <c r="R96" s="171" t="e">
        <f t="shared" si="19"/>
        <v>#REF!</v>
      </c>
      <c r="S96" s="171" t="e">
        <f t="shared" si="19"/>
        <v>#REF!</v>
      </c>
      <c r="T96" s="171" t="e">
        <f t="shared" si="19"/>
        <v>#REF!</v>
      </c>
      <c r="U96" s="171" t="e">
        <f t="shared" si="19"/>
        <v>#REF!</v>
      </c>
      <c r="V96" s="171" t="e">
        <f t="shared" si="19"/>
        <v>#REF!</v>
      </c>
      <c r="W96" s="171" t="e">
        <f t="shared" si="19"/>
        <v>#REF!</v>
      </c>
      <c r="X96" s="171" t="e">
        <f t="shared" si="19"/>
        <v>#REF!</v>
      </c>
      <c r="Y96" s="171" t="e">
        <f t="shared" si="19"/>
        <v>#REF!</v>
      </c>
      <c r="Z96" s="171" t="e">
        <f t="shared" si="19"/>
        <v>#REF!</v>
      </c>
      <c r="AA96" s="171" t="e">
        <f t="shared" si="19"/>
        <v>#REF!</v>
      </c>
      <c r="AB96" s="171" t="e">
        <f t="shared" si="19"/>
        <v>#REF!</v>
      </c>
      <c r="AC96" s="171" t="e">
        <f t="shared" si="19"/>
        <v>#REF!</v>
      </c>
      <c r="AD96" s="171" t="e">
        <f t="shared" si="19"/>
        <v>#REF!</v>
      </c>
      <c r="AE96" s="171" t="e">
        <f t="shared" si="19"/>
        <v>#REF!</v>
      </c>
      <c r="AF96" s="171" t="e">
        <f t="shared" si="19"/>
        <v>#REF!</v>
      </c>
      <c r="AG96" s="171" t="e">
        <f t="shared" si="19"/>
        <v>#REF!</v>
      </c>
      <c r="AH96" s="171" t="e">
        <f t="shared" si="19"/>
        <v>#REF!</v>
      </c>
      <c r="AI96" s="171" t="e">
        <f t="shared" si="19"/>
        <v>#REF!</v>
      </c>
      <c r="AJ96" s="171" t="e">
        <f t="shared" si="19"/>
        <v>#REF!</v>
      </c>
      <c r="AK96" s="171" t="e">
        <f t="shared" si="19"/>
        <v>#REF!</v>
      </c>
      <c r="AL96" s="172" t="e">
        <f t="shared" si="19"/>
        <v>#REF!</v>
      </c>
    </row>
    <row r="97" spans="1:38" ht="24" outlineLevel="2">
      <c r="A97" s="243"/>
      <c r="B97" s="30" t="s">
        <v>165</v>
      </c>
      <c r="C97" s="79"/>
      <c r="D97" s="198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5" t="e">
        <f>'Zał.1_WPF_bazowy'!#REF!</f>
        <v>#REF!</v>
      </c>
      <c r="I97" s="156">
        <f>+'Zał.1_WPF_bazowy'!E97</f>
        <v>0</v>
      </c>
      <c r="J97" s="157">
        <f>+'Zał.1_WPF_bazowy'!F97</f>
        <v>0</v>
      </c>
      <c r="K97" s="157">
        <f>+'Zał.1_WPF_bazowy'!G97</f>
        <v>0</v>
      </c>
      <c r="L97" s="157">
        <f>+'Zał.1_WPF_bazowy'!H97</f>
        <v>0</v>
      </c>
      <c r="M97" s="157">
        <f>+'Zał.1_WPF_bazowy'!I97</f>
        <v>0</v>
      </c>
      <c r="N97" s="157">
        <f>+'Zał.1_WPF_bazowy'!J97</f>
        <v>0</v>
      </c>
      <c r="O97" s="157">
        <f>+'Zał.1_WPF_bazowy'!K97</f>
        <v>0</v>
      </c>
      <c r="P97" s="157">
        <f>+'Zał.1_WPF_bazowy'!L97</f>
        <v>0</v>
      </c>
      <c r="Q97" s="157">
        <f>+'Zał.1_WPF_bazowy'!M97</f>
        <v>0</v>
      </c>
      <c r="R97" s="157">
        <f>+'Zał.1_WPF_bazowy'!N97</f>
        <v>0</v>
      </c>
      <c r="S97" s="157" t="e">
        <f>+'Zał.1_WPF_bazowy'!#REF!</f>
        <v>#REF!</v>
      </c>
      <c r="T97" s="157" t="e">
        <f>+'Zał.1_WPF_bazowy'!#REF!</f>
        <v>#REF!</v>
      </c>
      <c r="U97" s="157" t="e">
        <f>+'Zał.1_WPF_bazowy'!#REF!</f>
        <v>#REF!</v>
      </c>
      <c r="V97" s="157" t="e">
        <f>+'Zał.1_WPF_bazowy'!#REF!</f>
        <v>#REF!</v>
      </c>
      <c r="W97" s="157" t="e">
        <f>+'Zał.1_WPF_bazowy'!#REF!</f>
        <v>#REF!</v>
      </c>
      <c r="X97" s="157" t="e">
        <f>+'Zał.1_WPF_bazowy'!#REF!</f>
        <v>#REF!</v>
      </c>
      <c r="Y97" s="157" t="e">
        <f>+'Zał.1_WPF_bazowy'!#REF!</f>
        <v>#REF!</v>
      </c>
      <c r="Z97" s="157" t="e">
        <f>+'Zał.1_WPF_bazowy'!#REF!</f>
        <v>#REF!</v>
      </c>
      <c r="AA97" s="157" t="e">
        <f>+'Zał.1_WPF_bazowy'!#REF!</f>
        <v>#REF!</v>
      </c>
      <c r="AB97" s="157" t="e">
        <f>+'Zał.1_WPF_bazowy'!#REF!</f>
        <v>#REF!</v>
      </c>
      <c r="AC97" s="157" t="e">
        <f>+'Zał.1_WPF_bazowy'!#REF!</f>
        <v>#REF!</v>
      </c>
      <c r="AD97" s="157" t="e">
        <f>+'Zał.1_WPF_bazowy'!#REF!</f>
        <v>#REF!</v>
      </c>
      <c r="AE97" s="157" t="e">
        <f>+'Zał.1_WPF_bazowy'!#REF!</f>
        <v>#REF!</v>
      </c>
      <c r="AF97" s="157" t="e">
        <f>+'Zał.1_WPF_bazowy'!#REF!</f>
        <v>#REF!</v>
      </c>
      <c r="AG97" s="157" t="e">
        <f>+'Zał.1_WPF_bazowy'!#REF!</f>
        <v>#REF!</v>
      </c>
      <c r="AH97" s="157" t="e">
        <f>+'Zał.1_WPF_bazowy'!#REF!</f>
        <v>#REF!</v>
      </c>
      <c r="AI97" s="157" t="e">
        <f>+'Zał.1_WPF_bazowy'!#REF!</f>
        <v>#REF!</v>
      </c>
      <c r="AJ97" s="157" t="e">
        <f>+'Zał.1_WPF_bazowy'!#REF!</f>
        <v>#REF!</v>
      </c>
      <c r="AK97" s="157" t="e">
        <f>+'Zał.1_WPF_bazowy'!#REF!</f>
        <v>#REF!</v>
      </c>
      <c r="AL97" s="158" t="e">
        <f>+'Zał.1_WPF_bazowy'!#REF!</f>
        <v>#REF!</v>
      </c>
    </row>
    <row r="98" spans="1:38" ht="14.25" outlineLevel="2">
      <c r="A98" s="243"/>
      <c r="B98" s="30" t="s">
        <v>166</v>
      </c>
      <c r="C98" s="79"/>
      <c r="D98" s="198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5" t="e">
        <f>'Zał.1_WPF_bazowy'!#REF!</f>
        <v>#REF!</v>
      </c>
      <c r="I98" s="156">
        <f>+'Zał.1_WPF_bazowy'!E98</f>
        <v>0</v>
      </c>
      <c r="J98" s="157">
        <f>+'Zał.1_WPF_bazowy'!F98</f>
        <v>0</v>
      </c>
      <c r="K98" s="157">
        <f>+'Zał.1_WPF_bazowy'!G98</f>
        <v>0</v>
      </c>
      <c r="L98" s="157">
        <f>+'Zał.1_WPF_bazowy'!H98</f>
        <v>0</v>
      </c>
      <c r="M98" s="157">
        <f>+'Zał.1_WPF_bazowy'!I98</f>
        <v>0</v>
      </c>
      <c r="N98" s="157">
        <f>+'Zał.1_WPF_bazowy'!J98</f>
        <v>0</v>
      </c>
      <c r="O98" s="157">
        <f>+'Zał.1_WPF_bazowy'!K98</f>
        <v>0</v>
      </c>
      <c r="P98" s="157">
        <f>+'Zał.1_WPF_bazowy'!L98</f>
        <v>0</v>
      </c>
      <c r="Q98" s="157">
        <f>+'Zał.1_WPF_bazowy'!M98</f>
        <v>0</v>
      </c>
      <c r="R98" s="157">
        <f>+'Zał.1_WPF_bazowy'!N98</f>
        <v>0</v>
      </c>
      <c r="S98" s="157" t="e">
        <f>+'Zał.1_WPF_bazowy'!#REF!</f>
        <v>#REF!</v>
      </c>
      <c r="T98" s="157" t="e">
        <f>+'Zał.1_WPF_bazowy'!#REF!</f>
        <v>#REF!</v>
      </c>
      <c r="U98" s="157" t="e">
        <f>+'Zał.1_WPF_bazowy'!#REF!</f>
        <v>#REF!</v>
      </c>
      <c r="V98" s="157" t="e">
        <f>+'Zał.1_WPF_bazowy'!#REF!</f>
        <v>#REF!</v>
      </c>
      <c r="W98" s="157" t="e">
        <f>+'Zał.1_WPF_bazowy'!#REF!</f>
        <v>#REF!</v>
      </c>
      <c r="X98" s="157" t="e">
        <f>+'Zał.1_WPF_bazowy'!#REF!</f>
        <v>#REF!</v>
      </c>
      <c r="Y98" s="157" t="e">
        <f>+'Zał.1_WPF_bazowy'!#REF!</f>
        <v>#REF!</v>
      </c>
      <c r="Z98" s="157" t="e">
        <f>+'Zał.1_WPF_bazowy'!#REF!</f>
        <v>#REF!</v>
      </c>
      <c r="AA98" s="157" t="e">
        <f>+'Zał.1_WPF_bazowy'!#REF!</f>
        <v>#REF!</v>
      </c>
      <c r="AB98" s="157" t="e">
        <f>+'Zał.1_WPF_bazowy'!#REF!</f>
        <v>#REF!</v>
      </c>
      <c r="AC98" s="157" t="e">
        <f>+'Zał.1_WPF_bazowy'!#REF!</f>
        <v>#REF!</v>
      </c>
      <c r="AD98" s="157" t="e">
        <f>+'Zał.1_WPF_bazowy'!#REF!</f>
        <v>#REF!</v>
      </c>
      <c r="AE98" s="157" t="e">
        <f>+'Zał.1_WPF_bazowy'!#REF!</f>
        <v>#REF!</v>
      </c>
      <c r="AF98" s="157" t="e">
        <f>+'Zał.1_WPF_bazowy'!#REF!</f>
        <v>#REF!</v>
      </c>
      <c r="AG98" s="157" t="e">
        <f>+'Zał.1_WPF_bazowy'!#REF!</f>
        <v>#REF!</v>
      </c>
      <c r="AH98" s="157" t="e">
        <f>+'Zał.1_WPF_bazowy'!#REF!</f>
        <v>#REF!</v>
      </c>
      <c r="AI98" s="157" t="e">
        <f>+'Zał.1_WPF_bazowy'!#REF!</f>
        <v>#REF!</v>
      </c>
      <c r="AJ98" s="157" t="e">
        <f>+'Zał.1_WPF_bazowy'!#REF!</f>
        <v>#REF!</v>
      </c>
      <c r="AK98" s="157" t="e">
        <f>+'Zał.1_WPF_bazowy'!#REF!</f>
        <v>#REF!</v>
      </c>
      <c r="AL98" s="158" t="e">
        <f>+'Zał.1_WPF_bazowy'!#REF!</f>
        <v>#REF!</v>
      </c>
    </row>
    <row r="99" spans="1:38" ht="24" outlineLevel="2">
      <c r="A99" s="243"/>
      <c r="B99" s="30" t="s">
        <v>167</v>
      </c>
      <c r="C99" s="79"/>
      <c r="D99" s="198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5" t="e">
        <f>'Zał.1_WPF_bazowy'!#REF!</f>
        <v>#REF!</v>
      </c>
      <c r="I99" s="156">
        <f>+'Zał.1_WPF_bazowy'!E99</f>
        <v>0</v>
      </c>
      <c r="J99" s="157">
        <f>+'Zał.1_WPF_bazowy'!F99</f>
        <v>0</v>
      </c>
      <c r="K99" s="157">
        <f>+'Zał.1_WPF_bazowy'!G99</f>
        <v>0</v>
      </c>
      <c r="L99" s="157">
        <f>+'Zał.1_WPF_bazowy'!H99</f>
        <v>0</v>
      </c>
      <c r="M99" s="157">
        <f>+'Zał.1_WPF_bazowy'!I99</f>
        <v>0</v>
      </c>
      <c r="N99" s="157">
        <f>+'Zał.1_WPF_bazowy'!J99</f>
        <v>0</v>
      </c>
      <c r="O99" s="157">
        <f>+'Zał.1_WPF_bazowy'!K99</f>
        <v>0</v>
      </c>
      <c r="P99" s="157">
        <f>+'Zał.1_WPF_bazowy'!L99</f>
        <v>0</v>
      </c>
      <c r="Q99" s="157">
        <f>+'Zał.1_WPF_bazowy'!M99</f>
        <v>0</v>
      </c>
      <c r="R99" s="157">
        <f>+'Zał.1_WPF_bazowy'!N99</f>
        <v>0</v>
      </c>
      <c r="S99" s="157" t="e">
        <f>+'Zał.1_WPF_bazowy'!#REF!</f>
        <v>#REF!</v>
      </c>
      <c r="T99" s="157" t="e">
        <f>+'Zał.1_WPF_bazowy'!#REF!</f>
        <v>#REF!</v>
      </c>
      <c r="U99" s="157" t="e">
        <f>+'Zał.1_WPF_bazowy'!#REF!</f>
        <v>#REF!</v>
      </c>
      <c r="V99" s="157" t="e">
        <f>+'Zał.1_WPF_bazowy'!#REF!</f>
        <v>#REF!</v>
      </c>
      <c r="W99" s="157" t="e">
        <f>+'Zał.1_WPF_bazowy'!#REF!</f>
        <v>#REF!</v>
      </c>
      <c r="X99" s="157" t="e">
        <f>+'Zał.1_WPF_bazowy'!#REF!</f>
        <v>#REF!</v>
      </c>
      <c r="Y99" s="157" t="e">
        <f>+'Zał.1_WPF_bazowy'!#REF!</f>
        <v>#REF!</v>
      </c>
      <c r="Z99" s="157" t="e">
        <f>+'Zał.1_WPF_bazowy'!#REF!</f>
        <v>#REF!</v>
      </c>
      <c r="AA99" s="157" t="e">
        <f>+'Zał.1_WPF_bazowy'!#REF!</f>
        <v>#REF!</v>
      </c>
      <c r="AB99" s="157" t="e">
        <f>+'Zał.1_WPF_bazowy'!#REF!</f>
        <v>#REF!</v>
      </c>
      <c r="AC99" s="157" t="e">
        <f>+'Zał.1_WPF_bazowy'!#REF!</f>
        <v>#REF!</v>
      </c>
      <c r="AD99" s="157" t="e">
        <f>+'Zał.1_WPF_bazowy'!#REF!</f>
        <v>#REF!</v>
      </c>
      <c r="AE99" s="157" t="e">
        <f>+'Zał.1_WPF_bazowy'!#REF!</f>
        <v>#REF!</v>
      </c>
      <c r="AF99" s="157" t="e">
        <f>+'Zał.1_WPF_bazowy'!#REF!</f>
        <v>#REF!</v>
      </c>
      <c r="AG99" s="157" t="e">
        <f>+'Zał.1_WPF_bazowy'!#REF!</f>
        <v>#REF!</v>
      </c>
      <c r="AH99" s="157" t="e">
        <f>+'Zał.1_WPF_bazowy'!#REF!</f>
        <v>#REF!</v>
      </c>
      <c r="AI99" s="157" t="e">
        <f>+'Zał.1_WPF_bazowy'!#REF!</f>
        <v>#REF!</v>
      </c>
      <c r="AJ99" s="157" t="e">
        <f>+'Zał.1_WPF_bazowy'!#REF!</f>
        <v>#REF!</v>
      </c>
      <c r="AK99" s="157" t="e">
        <f>+'Zał.1_WPF_bazowy'!#REF!</f>
        <v>#REF!</v>
      </c>
      <c r="AL99" s="158" t="e">
        <f>+'Zał.1_WPF_bazowy'!#REF!</f>
        <v>#REF!</v>
      </c>
    </row>
    <row r="100" spans="1:38" ht="24" outlineLevel="2">
      <c r="A100" s="243"/>
      <c r="B100" s="30" t="s">
        <v>168</v>
      </c>
      <c r="C100" s="79"/>
      <c r="D100" s="198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5" t="e">
        <f>'Zał.1_WPF_bazowy'!#REF!</f>
        <v>#REF!</v>
      </c>
      <c r="I100" s="156">
        <f>+'Zał.1_WPF_bazowy'!E100</f>
        <v>0</v>
      </c>
      <c r="J100" s="157">
        <f>+'Zał.1_WPF_bazowy'!F100</f>
        <v>0</v>
      </c>
      <c r="K100" s="157">
        <f>+'Zał.1_WPF_bazowy'!G100</f>
        <v>0</v>
      </c>
      <c r="L100" s="157">
        <f>+'Zał.1_WPF_bazowy'!H100</f>
        <v>0</v>
      </c>
      <c r="M100" s="157">
        <f>+'Zał.1_WPF_bazowy'!I100</f>
        <v>0</v>
      </c>
      <c r="N100" s="157">
        <f>+'Zał.1_WPF_bazowy'!J100</f>
        <v>0</v>
      </c>
      <c r="O100" s="157">
        <f>+'Zał.1_WPF_bazowy'!K100</f>
        <v>0</v>
      </c>
      <c r="P100" s="157">
        <f>+'Zał.1_WPF_bazowy'!L100</f>
        <v>0</v>
      </c>
      <c r="Q100" s="157">
        <f>+'Zał.1_WPF_bazowy'!M100</f>
        <v>0</v>
      </c>
      <c r="R100" s="157">
        <f>+'Zał.1_WPF_bazowy'!N100</f>
        <v>0</v>
      </c>
      <c r="S100" s="157" t="e">
        <f>+'Zał.1_WPF_bazowy'!#REF!</f>
        <v>#REF!</v>
      </c>
      <c r="T100" s="157" t="e">
        <f>+'Zał.1_WPF_bazowy'!#REF!</f>
        <v>#REF!</v>
      </c>
      <c r="U100" s="157" t="e">
        <f>+'Zał.1_WPF_bazowy'!#REF!</f>
        <v>#REF!</v>
      </c>
      <c r="V100" s="157" t="e">
        <f>+'Zał.1_WPF_bazowy'!#REF!</f>
        <v>#REF!</v>
      </c>
      <c r="W100" s="157" t="e">
        <f>+'Zał.1_WPF_bazowy'!#REF!</f>
        <v>#REF!</v>
      </c>
      <c r="X100" s="157" t="e">
        <f>+'Zał.1_WPF_bazowy'!#REF!</f>
        <v>#REF!</v>
      </c>
      <c r="Y100" s="157" t="e">
        <f>+'Zał.1_WPF_bazowy'!#REF!</f>
        <v>#REF!</v>
      </c>
      <c r="Z100" s="157" t="e">
        <f>+'Zał.1_WPF_bazowy'!#REF!</f>
        <v>#REF!</v>
      </c>
      <c r="AA100" s="157" t="e">
        <f>+'Zał.1_WPF_bazowy'!#REF!</f>
        <v>#REF!</v>
      </c>
      <c r="AB100" s="157" t="e">
        <f>+'Zał.1_WPF_bazowy'!#REF!</f>
        <v>#REF!</v>
      </c>
      <c r="AC100" s="157" t="e">
        <f>+'Zał.1_WPF_bazowy'!#REF!</f>
        <v>#REF!</v>
      </c>
      <c r="AD100" s="157" t="e">
        <f>+'Zał.1_WPF_bazowy'!#REF!</f>
        <v>#REF!</v>
      </c>
      <c r="AE100" s="157" t="e">
        <f>+'Zał.1_WPF_bazowy'!#REF!</f>
        <v>#REF!</v>
      </c>
      <c r="AF100" s="157" t="e">
        <f>+'Zał.1_WPF_bazowy'!#REF!</f>
        <v>#REF!</v>
      </c>
      <c r="AG100" s="157" t="e">
        <f>+'Zał.1_WPF_bazowy'!#REF!</f>
        <v>#REF!</v>
      </c>
      <c r="AH100" s="157" t="e">
        <f>+'Zał.1_WPF_bazowy'!#REF!</f>
        <v>#REF!</v>
      </c>
      <c r="AI100" s="157" t="e">
        <f>+'Zał.1_WPF_bazowy'!#REF!</f>
        <v>#REF!</v>
      </c>
      <c r="AJ100" s="157" t="e">
        <f>+'Zał.1_WPF_bazowy'!#REF!</f>
        <v>#REF!</v>
      </c>
      <c r="AK100" s="157" t="e">
        <f>+'Zał.1_WPF_bazowy'!#REF!</f>
        <v>#REF!</v>
      </c>
      <c r="AL100" s="158" t="e">
        <f>+'Zał.1_WPF_bazowy'!#REF!</f>
        <v>#REF!</v>
      </c>
    </row>
    <row r="101" spans="1:38" ht="24" outlineLevel="2">
      <c r="A101" s="243"/>
      <c r="B101" s="30" t="s">
        <v>169</v>
      </c>
      <c r="C101" s="79"/>
      <c r="D101" s="198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5" t="e">
        <f>'Zał.1_WPF_bazowy'!#REF!</f>
        <v>#REF!</v>
      </c>
      <c r="I101" s="156">
        <f>+'Zał.1_WPF_bazowy'!E101</f>
        <v>0</v>
      </c>
      <c r="J101" s="157">
        <f>+'Zał.1_WPF_bazowy'!F101</f>
        <v>0</v>
      </c>
      <c r="K101" s="157">
        <f>+'Zał.1_WPF_bazowy'!G101</f>
        <v>0</v>
      </c>
      <c r="L101" s="157">
        <f>+'Zał.1_WPF_bazowy'!H101</f>
        <v>0</v>
      </c>
      <c r="M101" s="157">
        <f>+'Zał.1_WPF_bazowy'!I101</f>
        <v>0</v>
      </c>
      <c r="N101" s="157">
        <f>+'Zał.1_WPF_bazowy'!J101</f>
        <v>0</v>
      </c>
      <c r="O101" s="157">
        <f>+'Zał.1_WPF_bazowy'!K101</f>
        <v>0</v>
      </c>
      <c r="P101" s="157">
        <f>+'Zał.1_WPF_bazowy'!L101</f>
        <v>0</v>
      </c>
      <c r="Q101" s="157">
        <f>+'Zał.1_WPF_bazowy'!M101</f>
        <v>0</v>
      </c>
      <c r="R101" s="157">
        <f>+'Zał.1_WPF_bazowy'!N101</f>
        <v>0</v>
      </c>
      <c r="S101" s="157" t="e">
        <f>+'Zał.1_WPF_bazowy'!#REF!</f>
        <v>#REF!</v>
      </c>
      <c r="T101" s="157" t="e">
        <f>+'Zał.1_WPF_bazowy'!#REF!</f>
        <v>#REF!</v>
      </c>
      <c r="U101" s="157" t="e">
        <f>+'Zał.1_WPF_bazowy'!#REF!</f>
        <v>#REF!</v>
      </c>
      <c r="V101" s="157" t="e">
        <f>+'Zał.1_WPF_bazowy'!#REF!</f>
        <v>#REF!</v>
      </c>
      <c r="W101" s="157" t="e">
        <f>+'Zał.1_WPF_bazowy'!#REF!</f>
        <v>#REF!</v>
      </c>
      <c r="X101" s="157" t="e">
        <f>+'Zał.1_WPF_bazowy'!#REF!</f>
        <v>#REF!</v>
      </c>
      <c r="Y101" s="157" t="e">
        <f>+'Zał.1_WPF_bazowy'!#REF!</f>
        <v>#REF!</v>
      </c>
      <c r="Z101" s="157" t="e">
        <f>+'Zał.1_WPF_bazowy'!#REF!</f>
        <v>#REF!</v>
      </c>
      <c r="AA101" s="157" t="e">
        <f>+'Zał.1_WPF_bazowy'!#REF!</f>
        <v>#REF!</v>
      </c>
      <c r="AB101" s="157" t="e">
        <f>+'Zał.1_WPF_bazowy'!#REF!</f>
        <v>#REF!</v>
      </c>
      <c r="AC101" s="157" t="e">
        <f>+'Zał.1_WPF_bazowy'!#REF!</f>
        <v>#REF!</v>
      </c>
      <c r="AD101" s="157" t="e">
        <f>+'Zał.1_WPF_bazowy'!#REF!</f>
        <v>#REF!</v>
      </c>
      <c r="AE101" s="157" t="e">
        <f>+'Zał.1_WPF_bazowy'!#REF!</f>
        <v>#REF!</v>
      </c>
      <c r="AF101" s="157" t="e">
        <f>+'Zał.1_WPF_bazowy'!#REF!</f>
        <v>#REF!</v>
      </c>
      <c r="AG101" s="157" t="e">
        <f>+'Zał.1_WPF_bazowy'!#REF!</f>
        <v>#REF!</v>
      </c>
      <c r="AH101" s="157" t="e">
        <f>+'Zał.1_WPF_bazowy'!#REF!</f>
        <v>#REF!</v>
      </c>
      <c r="AI101" s="157" t="e">
        <f>+'Zał.1_WPF_bazowy'!#REF!</f>
        <v>#REF!</v>
      </c>
      <c r="AJ101" s="157" t="e">
        <f>+'Zał.1_WPF_bazowy'!#REF!</f>
        <v>#REF!</v>
      </c>
      <c r="AK101" s="157" t="e">
        <f>+'Zał.1_WPF_bazowy'!#REF!</f>
        <v>#REF!</v>
      </c>
      <c r="AL101" s="158" t="e">
        <f>+'Zał.1_WPF_bazowy'!#REF!</f>
        <v>#REF!</v>
      </c>
    </row>
    <row r="102" spans="1:38" ht="24" outlineLevel="2">
      <c r="A102" s="243"/>
      <c r="B102" s="30" t="s">
        <v>170</v>
      </c>
      <c r="C102" s="79"/>
      <c r="D102" s="198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5" t="e">
        <f>'Zał.1_WPF_bazowy'!#REF!</f>
        <v>#REF!</v>
      </c>
      <c r="I102" s="156">
        <f>+'Zał.1_WPF_bazowy'!E102</f>
        <v>0</v>
      </c>
      <c r="J102" s="157">
        <f>+'Zał.1_WPF_bazowy'!F102</f>
        <v>0</v>
      </c>
      <c r="K102" s="157">
        <f>+'Zał.1_WPF_bazowy'!G102</f>
        <v>0</v>
      </c>
      <c r="L102" s="157">
        <f>+'Zał.1_WPF_bazowy'!H102</f>
        <v>0</v>
      </c>
      <c r="M102" s="157">
        <f>+'Zał.1_WPF_bazowy'!I102</f>
        <v>0</v>
      </c>
      <c r="N102" s="157">
        <f>+'Zał.1_WPF_bazowy'!J102</f>
        <v>0</v>
      </c>
      <c r="O102" s="157">
        <f>+'Zał.1_WPF_bazowy'!K102</f>
        <v>0</v>
      </c>
      <c r="P102" s="157">
        <f>+'Zał.1_WPF_bazowy'!L102</f>
        <v>0</v>
      </c>
      <c r="Q102" s="157">
        <f>+'Zał.1_WPF_bazowy'!M102</f>
        <v>0</v>
      </c>
      <c r="R102" s="157">
        <f>+'Zał.1_WPF_bazowy'!N102</f>
        <v>0</v>
      </c>
      <c r="S102" s="157" t="e">
        <f>+'Zał.1_WPF_bazowy'!#REF!</f>
        <v>#REF!</v>
      </c>
      <c r="T102" s="157" t="e">
        <f>+'Zał.1_WPF_bazowy'!#REF!</f>
        <v>#REF!</v>
      </c>
      <c r="U102" s="157" t="e">
        <f>+'Zał.1_WPF_bazowy'!#REF!</f>
        <v>#REF!</v>
      </c>
      <c r="V102" s="157" t="e">
        <f>+'Zał.1_WPF_bazowy'!#REF!</f>
        <v>#REF!</v>
      </c>
      <c r="W102" s="157" t="e">
        <f>+'Zał.1_WPF_bazowy'!#REF!</f>
        <v>#REF!</v>
      </c>
      <c r="X102" s="157" t="e">
        <f>+'Zał.1_WPF_bazowy'!#REF!</f>
        <v>#REF!</v>
      </c>
      <c r="Y102" s="157" t="e">
        <f>+'Zał.1_WPF_bazowy'!#REF!</f>
        <v>#REF!</v>
      </c>
      <c r="Z102" s="157" t="e">
        <f>+'Zał.1_WPF_bazowy'!#REF!</f>
        <v>#REF!</v>
      </c>
      <c r="AA102" s="157" t="e">
        <f>+'Zał.1_WPF_bazowy'!#REF!</f>
        <v>#REF!</v>
      </c>
      <c r="AB102" s="157" t="e">
        <f>+'Zał.1_WPF_bazowy'!#REF!</f>
        <v>#REF!</v>
      </c>
      <c r="AC102" s="157" t="e">
        <f>+'Zał.1_WPF_bazowy'!#REF!</f>
        <v>#REF!</v>
      </c>
      <c r="AD102" s="157" t="e">
        <f>+'Zał.1_WPF_bazowy'!#REF!</f>
        <v>#REF!</v>
      </c>
      <c r="AE102" s="157" t="e">
        <f>+'Zał.1_WPF_bazowy'!#REF!</f>
        <v>#REF!</v>
      </c>
      <c r="AF102" s="157" t="e">
        <f>+'Zał.1_WPF_bazowy'!#REF!</f>
        <v>#REF!</v>
      </c>
      <c r="AG102" s="157" t="e">
        <f>+'Zał.1_WPF_bazowy'!#REF!</f>
        <v>#REF!</v>
      </c>
      <c r="AH102" s="157" t="e">
        <f>+'Zał.1_WPF_bazowy'!#REF!</f>
        <v>#REF!</v>
      </c>
      <c r="AI102" s="157" t="e">
        <f>+'Zał.1_WPF_bazowy'!#REF!</f>
        <v>#REF!</v>
      </c>
      <c r="AJ102" s="157" t="e">
        <f>+'Zał.1_WPF_bazowy'!#REF!</f>
        <v>#REF!</v>
      </c>
      <c r="AK102" s="157" t="e">
        <f>+'Zał.1_WPF_bazowy'!#REF!</f>
        <v>#REF!</v>
      </c>
      <c r="AL102" s="158" t="e">
        <f>+'Zał.1_WPF_bazowy'!#REF!</f>
        <v>#REF!</v>
      </c>
    </row>
    <row r="103" spans="1:38" s="77" customFormat="1" ht="15" outlineLevel="1">
      <c r="A103" s="243" t="s">
        <v>28</v>
      </c>
      <c r="B103" s="29">
        <v>14</v>
      </c>
      <c r="C103" s="260"/>
      <c r="D103" s="197" t="s">
        <v>122</v>
      </c>
      <c r="E103" s="133" t="s">
        <v>28</v>
      </c>
      <c r="F103" s="134" t="s">
        <v>28</v>
      </c>
      <c r="G103" s="134" t="s">
        <v>28</v>
      </c>
      <c r="H103" s="166" t="s">
        <v>28</v>
      </c>
      <c r="I103" s="167" t="s">
        <v>28</v>
      </c>
      <c r="J103" s="168" t="s">
        <v>28</v>
      </c>
      <c r="K103" s="168" t="s">
        <v>28</v>
      </c>
      <c r="L103" s="168" t="s">
        <v>28</v>
      </c>
      <c r="M103" s="168" t="s">
        <v>28</v>
      </c>
      <c r="N103" s="168" t="s">
        <v>28</v>
      </c>
      <c r="O103" s="168" t="s">
        <v>28</v>
      </c>
      <c r="P103" s="168" t="s">
        <v>28</v>
      </c>
      <c r="Q103" s="168" t="s">
        <v>28</v>
      </c>
      <c r="R103" s="168" t="s">
        <v>28</v>
      </c>
      <c r="S103" s="168" t="s">
        <v>28</v>
      </c>
      <c r="T103" s="168" t="s">
        <v>28</v>
      </c>
      <c r="U103" s="168" t="s">
        <v>28</v>
      </c>
      <c r="V103" s="168" t="s">
        <v>28</v>
      </c>
      <c r="W103" s="168" t="s">
        <v>28</v>
      </c>
      <c r="X103" s="168" t="s">
        <v>28</v>
      </c>
      <c r="Y103" s="168" t="s">
        <v>28</v>
      </c>
      <c r="Z103" s="168" t="s">
        <v>28</v>
      </c>
      <c r="AA103" s="168" t="s">
        <v>28</v>
      </c>
      <c r="AB103" s="168" t="s">
        <v>28</v>
      </c>
      <c r="AC103" s="168" t="s">
        <v>28</v>
      </c>
      <c r="AD103" s="168" t="s">
        <v>28</v>
      </c>
      <c r="AE103" s="168" t="s">
        <v>28</v>
      </c>
      <c r="AF103" s="168" t="s">
        <v>28</v>
      </c>
      <c r="AG103" s="168" t="s">
        <v>28</v>
      </c>
      <c r="AH103" s="168" t="s">
        <v>28</v>
      </c>
      <c r="AI103" s="168" t="s">
        <v>28</v>
      </c>
      <c r="AJ103" s="168" t="s">
        <v>28</v>
      </c>
      <c r="AK103" s="168" t="s">
        <v>28</v>
      </c>
      <c r="AL103" s="169" t="s">
        <v>28</v>
      </c>
    </row>
    <row r="104" spans="1:38" ht="24" outlineLevel="2">
      <c r="A104" s="243" t="s">
        <v>28</v>
      </c>
      <c r="B104" s="30" t="s">
        <v>171</v>
      </c>
      <c r="C104" s="79"/>
      <c r="D104" s="198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5" t="e">
        <f>'Zał.1_WPF_bazowy'!#REF!</f>
        <v>#REF!</v>
      </c>
      <c r="I104" s="156">
        <f>+'Zał.1_WPF_bazowy'!E104</f>
        <v>368527.28</v>
      </c>
      <c r="J104" s="157">
        <f>+'Zał.1_WPF_bazowy'!F104</f>
        <v>217309</v>
      </c>
      <c r="K104" s="157">
        <f>+'Zał.1_WPF_bazowy'!G104</f>
        <v>250000</v>
      </c>
      <c r="L104" s="157">
        <f>+'Zał.1_WPF_bazowy'!H104</f>
        <v>350000</v>
      </c>
      <c r="M104" s="157">
        <f>+'Zał.1_WPF_bazowy'!I104</f>
        <v>205000</v>
      </c>
      <c r="N104" s="157">
        <f>+'Zał.1_WPF_bazowy'!J104</f>
        <v>100000</v>
      </c>
      <c r="O104" s="157">
        <f>+'Zał.1_WPF_bazowy'!K104</f>
        <v>0</v>
      </c>
      <c r="P104" s="157">
        <f>+'Zał.1_WPF_bazowy'!L104</f>
        <v>0</v>
      </c>
      <c r="Q104" s="157">
        <f>+'Zał.1_WPF_bazowy'!M104</f>
        <v>0</v>
      </c>
      <c r="R104" s="157">
        <f>+'Zał.1_WPF_bazowy'!N104</f>
        <v>0</v>
      </c>
      <c r="S104" s="157" t="e">
        <f>+'Zał.1_WPF_bazowy'!#REF!</f>
        <v>#REF!</v>
      </c>
      <c r="T104" s="157" t="e">
        <f>+'Zał.1_WPF_bazowy'!#REF!</f>
        <v>#REF!</v>
      </c>
      <c r="U104" s="157" t="e">
        <f>+'Zał.1_WPF_bazowy'!#REF!</f>
        <v>#REF!</v>
      </c>
      <c r="V104" s="157" t="e">
        <f>+'Zał.1_WPF_bazowy'!#REF!</f>
        <v>#REF!</v>
      </c>
      <c r="W104" s="157" t="e">
        <f>+'Zał.1_WPF_bazowy'!#REF!</f>
        <v>#REF!</v>
      </c>
      <c r="X104" s="157" t="e">
        <f>+'Zał.1_WPF_bazowy'!#REF!</f>
        <v>#REF!</v>
      </c>
      <c r="Y104" s="157" t="e">
        <f>+'Zał.1_WPF_bazowy'!#REF!</f>
        <v>#REF!</v>
      </c>
      <c r="Z104" s="157" t="e">
        <f>+'Zał.1_WPF_bazowy'!#REF!</f>
        <v>#REF!</v>
      </c>
      <c r="AA104" s="157" t="e">
        <f>+'Zał.1_WPF_bazowy'!#REF!</f>
        <v>#REF!</v>
      </c>
      <c r="AB104" s="157" t="e">
        <f>+'Zał.1_WPF_bazowy'!#REF!</f>
        <v>#REF!</v>
      </c>
      <c r="AC104" s="157" t="e">
        <f>+'Zał.1_WPF_bazowy'!#REF!</f>
        <v>#REF!</v>
      </c>
      <c r="AD104" s="157" t="e">
        <f>+'Zał.1_WPF_bazowy'!#REF!</f>
        <v>#REF!</v>
      </c>
      <c r="AE104" s="157" t="e">
        <f>+'Zał.1_WPF_bazowy'!#REF!</f>
        <v>#REF!</v>
      </c>
      <c r="AF104" s="157" t="e">
        <f>+'Zał.1_WPF_bazowy'!#REF!</f>
        <v>#REF!</v>
      </c>
      <c r="AG104" s="157" t="e">
        <f>+'Zał.1_WPF_bazowy'!#REF!</f>
        <v>#REF!</v>
      </c>
      <c r="AH104" s="157" t="e">
        <f>+'Zał.1_WPF_bazowy'!#REF!</f>
        <v>#REF!</v>
      </c>
      <c r="AI104" s="157" t="e">
        <f>+'Zał.1_WPF_bazowy'!#REF!</f>
        <v>#REF!</v>
      </c>
      <c r="AJ104" s="157" t="e">
        <f>+'Zał.1_WPF_bazowy'!#REF!</f>
        <v>#REF!</v>
      </c>
      <c r="AK104" s="157" t="e">
        <f>+'Zał.1_WPF_bazowy'!#REF!</f>
        <v>#REF!</v>
      </c>
      <c r="AL104" s="158" t="e">
        <f>+'Zał.1_WPF_bazowy'!#REF!</f>
        <v>#REF!</v>
      </c>
    </row>
    <row r="105" spans="1:38" ht="14.25" outlineLevel="2">
      <c r="A105" s="243" t="s">
        <v>28</v>
      </c>
      <c r="B105" s="30" t="s">
        <v>172</v>
      </c>
      <c r="C105" s="79"/>
      <c r="D105" s="198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5" t="e">
        <f>'Zał.1_WPF_bazowy'!#REF!</f>
        <v>#REF!</v>
      </c>
      <c r="I105" s="156">
        <f>+'Zał.1_WPF_bazowy'!E105</f>
        <v>0</v>
      </c>
      <c r="J105" s="157">
        <f>+'Zał.1_WPF_bazowy'!F105</f>
        <v>0</v>
      </c>
      <c r="K105" s="157">
        <f>+'Zał.1_WPF_bazowy'!G105</f>
        <v>0</v>
      </c>
      <c r="L105" s="157">
        <f>+'Zał.1_WPF_bazowy'!H105</f>
        <v>0</v>
      </c>
      <c r="M105" s="157">
        <f>+'Zał.1_WPF_bazowy'!I105</f>
        <v>0</v>
      </c>
      <c r="N105" s="157">
        <f>+'Zał.1_WPF_bazowy'!J105</f>
        <v>0</v>
      </c>
      <c r="O105" s="157">
        <f>+'Zał.1_WPF_bazowy'!K105</f>
        <v>0</v>
      </c>
      <c r="P105" s="157">
        <f>+'Zał.1_WPF_bazowy'!L105</f>
        <v>0</v>
      </c>
      <c r="Q105" s="157">
        <f>+'Zał.1_WPF_bazowy'!M105</f>
        <v>0</v>
      </c>
      <c r="R105" s="157">
        <f>+'Zał.1_WPF_bazowy'!N105</f>
        <v>0</v>
      </c>
      <c r="S105" s="157" t="e">
        <f>+'Zał.1_WPF_bazowy'!#REF!</f>
        <v>#REF!</v>
      </c>
      <c r="T105" s="157" t="e">
        <f>+'Zał.1_WPF_bazowy'!#REF!</f>
        <v>#REF!</v>
      </c>
      <c r="U105" s="157" t="e">
        <f>+'Zał.1_WPF_bazowy'!#REF!</f>
        <v>#REF!</v>
      </c>
      <c r="V105" s="157" t="e">
        <f>+'Zał.1_WPF_bazowy'!#REF!</f>
        <v>#REF!</v>
      </c>
      <c r="W105" s="157" t="e">
        <f>+'Zał.1_WPF_bazowy'!#REF!</f>
        <v>#REF!</v>
      </c>
      <c r="X105" s="157" t="e">
        <f>+'Zał.1_WPF_bazowy'!#REF!</f>
        <v>#REF!</v>
      </c>
      <c r="Y105" s="157" t="e">
        <f>+'Zał.1_WPF_bazowy'!#REF!</f>
        <v>#REF!</v>
      </c>
      <c r="Z105" s="157" t="e">
        <f>+'Zał.1_WPF_bazowy'!#REF!</f>
        <v>#REF!</v>
      </c>
      <c r="AA105" s="157" t="e">
        <f>+'Zał.1_WPF_bazowy'!#REF!</f>
        <v>#REF!</v>
      </c>
      <c r="AB105" s="157" t="e">
        <f>+'Zał.1_WPF_bazowy'!#REF!</f>
        <v>#REF!</v>
      </c>
      <c r="AC105" s="157" t="e">
        <f>+'Zał.1_WPF_bazowy'!#REF!</f>
        <v>#REF!</v>
      </c>
      <c r="AD105" s="157" t="e">
        <f>+'Zał.1_WPF_bazowy'!#REF!</f>
        <v>#REF!</v>
      </c>
      <c r="AE105" s="157" t="e">
        <f>+'Zał.1_WPF_bazowy'!#REF!</f>
        <v>#REF!</v>
      </c>
      <c r="AF105" s="157" t="e">
        <f>+'Zał.1_WPF_bazowy'!#REF!</f>
        <v>#REF!</v>
      </c>
      <c r="AG105" s="157" t="e">
        <f>+'Zał.1_WPF_bazowy'!#REF!</f>
        <v>#REF!</v>
      </c>
      <c r="AH105" s="157" t="e">
        <f>+'Zał.1_WPF_bazowy'!#REF!</f>
        <v>#REF!</v>
      </c>
      <c r="AI105" s="157" t="e">
        <f>+'Zał.1_WPF_bazowy'!#REF!</f>
        <v>#REF!</v>
      </c>
      <c r="AJ105" s="157" t="e">
        <f>+'Zał.1_WPF_bazowy'!#REF!</f>
        <v>#REF!</v>
      </c>
      <c r="AK105" s="157" t="e">
        <f>+'Zał.1_WPF_bazowy'!#REF!</f>
        <v>#REF!</v>
      </c>
      <c r="AL105" s="158" t="e">
        <f>+'Zał.1_WPF_bazowy'!#REF!</f>
        <v>#REF!</v>
      </c>
    </row>
    <row r="106" spans="1:38" ht="14.25" outlineLevel="2">
      <c r="A106" s="243" t="s">
        <v>28</v>
      </c>
      <c r="B106" s="30" t="s">
        <v>173</v>
      </c>
      <c r="C106" s="79"/>
      <c r="D106" s="198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5" t="e">
        <f>'Zał.1_WPF_bazowy'!#REF!</f>
        <v>#REF!</v>
      </c>
      <c r="I106" s="156">
        <f>+'Zał.1_WPF_bazowy'!E106</f>
        <v>0</v>
      </c>
      <c r="J106" s="157">
        <f>+'Zał.1_WPF_bazowy'!F106</f>
        <v>0</v>
      </c>
      <c r="K106" s="157">
        <f>+'Zał.1_WPF_bazowy'!G106</f>
        <v>0</v>
      </c>
      <c r="L106" s="157">
        <f>+'Zał.1_WPF_bazowy'!H106</f>
        <v>0</v>
      </c>
      <c r="M106" s="157">
        <f>+'Zał.1_WPF_bazowy'!I106</f>
        <v>0</v>
      </c>
      <c r="N106" s="157">
        <f>+'Zał.1_WPF_bazowy'!J106</f>
        <v>0</v>
      </c>
      <c r="O106" s="157">
        <f>+'Zał.1_WPF_bazowy'!K106</f>
        <v>0</v>
      </c>
      <c r="P106" s="157">
        <f>+'Zał.1_WPF_bazowy'!L106</f>
        <v>0</v>
      </c>
      <c r="Q106" s="157">
        <f>+'Zał.1_WPF_bazowy'!M106</f>
        <v>0</v>
      </c>
      <c r="R106" s="157">
        <f>+'Zał.1_WPF_bazowy'!N106</f>
        <v>0</v>
      </c>
      <c r="S106" s="157" t="e">
        <f>+'Zał.1_WPF_bazowy'!#REF!</f>
        <v>#REF!</v>
      </c>
      <c r="T106" s="157" t="e">
        <f>+'Zał.1_WPF_bazowy'!#REF!</f>
        <v>#REF!</v>
      </c>
      <c r="U106" s="157" t="e">
        <f>+'Zał.1_WPF_bazowy'!#REF!</f>
        <v>#REF!</v>
      </c>
      <c r="V106" s="157" t="e">
        <f>+'Zał.1_WPF_bazowy'!#REF!</f>
        <v>#REF!</v>
      </c>
      <c r="W106" s="157" t="e">
        <f>+'Zał.1_WPF_bazowy'!#REF!</f>
        <v>#REF!</v>
      </c>
      <c r="X106" s="157" t="e">
        <f>+'Zał.1_WPF_bazowy'!#REF!</f>
        <v>#REF!</v>
      </c>
      <c r="Y106" s="157" t="e">
        <f>+'Zał.1_WPF_bazowy'!#REF!</f>
        <v>#REF!</v>
      </c>
      <c r="Z106" s="157" t="e">
        <f>+'Zał.1_WPF_bazowy'!#REF!</f>
        <v>#REF!</v>
      </c>
      <c r="AA106" s="157" t="e">
        <f>+'Zał.1_WPF_bazowy'!#REF!</f>
        <v>#REF!</v>
      </c>
      <c r="AB106" s="157" t="e">
        <f>+'Zał.1_WPF_bazowy'!#REF!</f>
        <v>#REF!</v>
      </c>
      <c r="AC106" s="157" t="e">
        <f>+'Zał.1_WPF_bazowy'!#REF!</f>
        <v>#REF!</v>
      </c>
      <c r="AD106" s="157" t="e">
        <f>+'Zał.1_WPF_bazowy'!#REF!</f>
        <v>#REF!</v>
      </c>
      <c r="AE106" s="157" t="e">
        <f>+'Zał.1_WPF_bazowy'!#REF!</f>
        <v>#REF!</v>
      </c>
      <c r="AF106" s="157" t="e">
        <f>+'Zał.1_WPF_bazowy'!#REF!</f>
        <v>#REF!</v>
      </c>
      <c r="AG106" s="157" t="e">
        <f>+'Zał.1_WPF_bazowy'!#REF!</f>
        <v>#REF!</v>
      </c>
      <c r="AH106" s="157" t="e">
        <f>+'Zał.1_WPF_bazowy'!#REF!</f>
        <v>#REF!</v>
      </c>
      <c r="AI106" s="157" t="e">
        <f>+'Zał.1_WPF_bazowy'!#REF!</f>
        <v>#REF!</v>
      </c>
      <c r="AJ106" s="157" t="e">
        <f>+'Zał.1_WPF_bazowy'!#REF!</f>
        <v>#REF!</v>
      </c>
      <c r="AK106" s="157" t="e">
        <f>+'Zał.1_WPF_bazowy'!#REF!</f>
        <v>#REF!</v>
      </c>
      <c r="AL106" s="158" t="e">
        <f>+'Zał.1_WPF_bazowy'!#REF!</f>
        <v>#REF!</v>
      </c>
    </row>
    <row r="107" spans="1:38" ht="14.25" outlineLevel="2">
      <c r="A107" s="243" t="s">
        <v>28</v>
      </c>
      <c r="B107" s="30" t="s">
        <v>126</v>
      </c>
      <c r="C107" s="79"/>
      <c r="D107" s="199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5" t="e">
        <f>'Zał.1_WPF_bazowy'!#REF!</f>
        <v>#REF!</v>
      </c>
      <c r="I107" s="156">
        <f>+'Zał.1_WPF_bazowy'!E107</f>
        <v>0</v>
      </c>
      <c r="J107" s="157">
        <f>+'Zał.1_WPF_bazowy'!F107</f>
        <v>0</v>
      </c>
      <c r="K107" s="157">
        <f>+'Zał.1_WPF_bazowy'!G107</f>
        <v>0</v>
      </c>
      <c r="L107" s="157">
        <f>+'Zał.1_WPF_bazowy'!H107</f>
        <v>0</v>
      </c>
      <c r="M107" s="157">
        <f>+'Zał.1_WPF_bazowy'!I107</f>
        <v>0</v>
      </c>
      <c r="N107" s="157">
        <f>+'Zał.1_WPF_bazowy'!J107</f>
        <v>0</v>
      </c>
      <c r="O107" s="157">
        <f>+'Zał.1_WPF_bazowy'!K107</f>
        <v>0</v>
      </c>
      <c r="P107" s="157">
        <f>+'Zał.1_WPF_bazowy'!L107</f>
        <v>0</v>
      </c>
      <c r="Q107" s="157">
        <f>+'Zał.1_WPF_bazowy'!M107</f>
        <v>0</v>
      </c>
      <c r="R107" s="157">
        <f>+'Zał.1_WPF_bazowy'!N107</f>
        <v>0</v>
      </c>
      <c r="S107" s="157" t="e">
        <f>+'Zał.1_WPF_bazowy'!#REF!</f>
        <v>#REF!</v>
      </c>
      <c r="T107" s="157" t="e">
        <f>+'Zał.1_WPF_bazowy'!#REF!</f>
        <v>#REF!</v>
      </c>
      <c r="U107" s="157" t="e">
        <f>+'Zał.1_WPF_bazowy'!#REF!</f>
        <v>#REF!</v>
      </c>
      <c r="V107" s="157" t="e">
        <f>+'Zał.1_WPF_bazowy'!#REF!</f>
        <v>#REF!</v>
      </c>
      <c r="W107" s="157" t="e">
        <f>+'Zał.1_WPF_bazowy'!#REF!</f>
        <v>#REF!</v>
      </c>
      <c r="X107" s="157" t="e">
        <f>+'Zał.1_WPF_bazowy'!#REF!</f>
        <v>#REF!</v>
      </c>
      <c r="Y107" s="157" t="e">
        <f>+'Zał.1_WPF_bazowy'!#REF!</f>
        <v>#REF!</v>
      </c>
      <c r="Z107" s="157" t="e">
        <f>+'Zał.1_WPF_bazowy'!#REF!</f>
        <v>#REF!</v>
      </c>
      <c r="AA107" s="157" t="e">
        <f>+'Zał.1_WPF_bazowy'!#REF!</f>
        <v>#REF!</v>
      </c>
      <c r="AB107" s="157" t="e">
        <f>+'Zał.1_WPF_bazowy'!#REF!</f>
        <v>#REF!</v>
      </c>
      <c r="AC107" s="157" t="e">
        <f>+'Zał.1_WPF_bazowy'!#REF!</f>
        <v>#REF!</v>
      </c>
      <c r="AD107" s="157" t="e">
        <f>+'Zał.1_WPF_bazowy'!#REF!</f>
        <v>#REF!</v>
      </c>
      <c r="AE107" s="157" t="e">
        <f>+'Zał.1_WPF_bazowy'!#REF!</f>
        <v>#REF!</v>
      </c>
      <c r="AF107" s="157" t="e">
        <f>+'Zał.1_WPF_bazowy'!#REF!</f>
        <v>#REF!</v>
      </c>
      <c r="AG107" s="157" t="e">
        <f>+'Zał.1_WPF_bazowy'!#REF!</f>
        <v>#REF!</v>
      </c>
      <c r="AH107" s="157" t="e">
        <f>+'Zał.1_WPF_bazowy'!#REF!</f>
        <v>#REF!</v>
      </c>
      <c r="AI107" s="157" t="e">
        <f>+'Zał.1_WPF_bazowy'!#REF!</f>
        <v>#REF!</v>
      </c>
      <c r="AJ107" s="157" t="e">
        <f>+'Zał.1_WPF_bazowy'!#REF!</f>
        <v>#REF!</v>
      </c>
      <c r="AK107" s="157" t="e">
        <f>+'Zał.1_WPF_bazowy'!#REF!</f>
        <v>#REF!</v>
      </c>
      <c r="AL107" s="158" t="e">
        <f>+'Zał.1_WPF_bazowy'!#REF!</f>
        <v>#REF!</v>
      </c>
    </row>
    <row r="108" spans="1:38" ht="14.25" outlineLevel="2">
      <c r="A108" s="243" t="s">
        <v>28</v>
      </c>
      <c r="B108" s="30" t="s">
        <v>128</v>
      </c>
      <c r="C108" s="79"/>
      <c r="D108" s="199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5" t="e">
        <f>'Zał.1_WPF_bazowy'!#REF!</f>
        <v>#REF!</v>
      </c>
      <c r="I108" s="156">
        <f>+'Zał.1_WPF_bazowy'!E108</f>
        <v>0</v>
      </c>
      <c r="J108" s="157">
        <f>+'Zał.1_WPF_bazowy'!F108</f>
        <v>0</v>
      </c>
      <c r="K108" s="157">
        <f>+'Zał.1_WPF_bazowy'!G108</f>
        <v>0</v>
      </c>
      <c r="L108" s="157">
        <f>+'Zał.1_WPF_bazowy'!H108</f>
        <v>0</v>
      </c>
      <c r="M108" s="157">
        <f>+'Zał.1_WPF_bazowy'!I108</f>
        <v>0</v>
      </c>
      <c r="N108" s="157">
        <f>+'Zał.1_WPF_bazowy'!J108</f>
        <v>0</v>
      </c>
      <c r="O108" s="157">
        <f>+'Zał.1_WPF_bazowy'!K108</f>
        <v>0</v>
      </c>
      <c r="P108" s="157">
        <f>+'Zał.1_WPF_bazowy'!L108</f>
        <v>0</v>
      </c>
      <c r="Q108" s="157">
        <f>+'Zał.1_WPF_bazowy'!M108</f>
        <v>0</v>
      </c>
      <c r="R108" s="157">
        <f>+'Zał.1_WPF_bazowy'!N108</f>
        <v>0</v>
      </c>
      <c r="S108" s="157" t="e">
        <f>+'Zał.1_WPF_bazowy'!#REF!</f>
        <v>#REF!</v>
      </c>
      <c r="T108" s="157" t="e">
        <f>+'Zał.1_WPF_bazowy'!#REF!</f>
        <v>#REF!</v>
      </c>
      <c r="U108" s="157" t="e">
        <f>+'Zał.1_WPF_bazowy'!#REF!</f>
        <v>#REF!</v>
      </c>
      <c r="V108" s="157" t="e">
        <f>+'Zał.1_WPF_bazowy'!#REF!</f>
        <v>#REF!</v>
      </c>
      <c r="W108" s="157" t="e">
        <f>+'Zał.1_WPF_bazowy'!#REF!</f>
        <v>#REF!</v>
      </c>
      <c r="X108" s="157" t="e">
        <f>+'Zał.1_WPF_bazowy'!#REF!</f>
        <v>#REF!</v>
      </c>
      <c r="Y108" s="157" t="e">
        <f>+'Zał.1_WPF_bazowy'!#REF!</f>
        <v>#REF!</v>
      </c>
      <c r="Z108" s="157" t="e">
        <f>+'Zał.1_WPF_bazowy'!#REF!</f>
        <v>#REF!</v>
      </c>
      <c r="AA108" s="157" t="e">
        <f>+'Zał.1_WPF_bazowy'!#REF!</f>
        <v>#REF!</v>
      </c>
      <c r="AB108" s="157" t="e">
        <f>+'Zał.1_WPF_bazowy'!#REF!</f>
        <v>#REF!</v>
      </c>
      <c r="AC108" s="157" t="e">
        <f>+'Zał.1_WPF_bazowy'!#REF!</f>
        <v>#REF!</v>
      </c>
      <c r="AD108" s="157" t="e">
        <f>+'Zał.1_WPF_bazowy'!#REF!</f>
        <v>#REF!</v>
      </c>
      <c r="AE108" s="157" t="e">
        <f>+'Zał.1_WPF_bazowy'!#REF!</f>
        <v>#REF!</v>
      </c>
      <c r="AF108" s="157" t="e">
        <f>+'Zał.1_WPF_bazowy'!#REF!</f>
        <v>#REF!</v>
      </c>
      <c r="AG108" s="157" t="e">
        <f>+'Zał.1_WPF_bazowy'!#REF!</f>
        <v>#REF!</v>
      </c>
      <c r="AH108" s="157" t="e">
        <f>+'Zał.1_WPF_bazowy'!#REF!</f>
        <v>#REF!</v>
      </c>
      <c r="AI108" s="157" t="e">
        <f>+'Zał.1_WPF_bazowy'!#REF!</f>
        <v>#REF!</v>
      </c>
      <c r="AJ108" s="157" t="e">
        <f>+'Zał.1_WPF_bazowy'!#REF!</f>
        <v>#REF!</v>
      </c>
      <c r="AK108" s="157" t="e">
        <f>+'Zał.1_WPF_bazowy'!#REF!</f>
        <v>#REF!</v>
      </c>
      <c r="AL108" s="158" t="e">
        <f>+'Zał.1_WPF_bazowy'!#REF!</f>
        <v>#REF!</v>
      </c>
    </row>
    <row r="109" spans="1:38" ht="14.25" outlineLevel="2">
      <c r="A109" s="243" t="s">
        <v>28</v>
      </c>
      <c r="B109" s="30" t="s">
        <v>129</v>
      </c>
      <c r="C109" s="79"/>
      <c r="D109" s="199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5" t="e">
        <f>'Zał.1_WPF_bazowy'!#REF!</f>
        <v>#REF!</v>
      </c>
      <c r="I109" s="156">
        <f>+'Zał.1_WPF_bazowy'!E109</f>
        <v>0</v>
      </c>
      <c r="J109" s="157">
        <f>+'Zał.1_WPF_bazowy'!F109</f>
        <v>0</v>
      </c>
      <c r="K109" s="157">
        <f>+'Zał.1_WPF_bazowy'!G109</f>
        <v>0</v>
      </c>
      <c r="L109" s="157">
        <f>+'Zał.1_WPF_bazowy'!H109</f>
        <v>0</v>
      </c>
      <c r="M109" s="157">
        <f>+'Zał.1_WPF_bazowy'!I109</f>
        <v>0</v>
      </c>
      <c r="N109" s="157">
        <f>+'Zał.1_WPF_bazowy'!J109</f>
        <v>0</v>
      </c>
      <c r="O109" s="157">
        <f>+'Zał.1_WPF_bazowy'!K109</f>
        <v>0</v>
      </c>
      <c r="P109" s="157">
        <f>+'Zał.1_WPF_bazowy'!L109</f>
        <v>0</v>
      </c>
      <c r="Q109" s="157">
        <f>+'Zał.1_WPF_bazowy'!M109</f>
        <v>0</v>
      </c>
      <c r="R109" s="157">
        <f>+'Zał.1_WPF_bazowy'!N109</f>
        <v>0</v>
      </c>
      <c r="S109" s="157" t="e">
        <f>+'Zał.1_WPF_bazowy'!#REF!</f>
        <v>#REF!</v>
      </c>
      <c r="T109" s="157" t="e">
        <f>+'Zał.1_WPF_bazowy'!#REF!</f>
        <v>#REF!</v>
      </c>
      <c r="U109" s="157" t="e">
        <f>+'Zał.1_WPF_bazowy'!#REF!</f>
        <v>#REF!</v>
      </c>
      <c r="V109" s="157" t="e">
        <f>+'Zał.1_WPF_bazowy'!#REF!</f>
        <v>#REF!</v>
      </c>
      <c r="W109" s="157" t="e">
        <f>+'Zał.1_WPF_bazowy'!#REF!</f>
        <v>#REF!</v>
      </c>
      <c r="X109" s="157" t="e">
        <f>+'Zał.1_WPF_bazowy'!#REF!</f>
        <v>#REF!</v>
      </c>
      <c r="Y109" s="157" t="e">
        <f>+'Zał.1_WPF_bazowy'!#REF!</f>
        <v>#REF!</v>
      </c>
      <c r="Z109" s="157" t="e">
        <f>+'Zał.1_WPF_bazowy'!#REF!</f>
        <v>#REF!</v>
      </c>
      <c r="AA109" s="157" t="e">
        <f>+'Zał.1_WPF_bazowy'!#REF!</f>
        <v>#REF!</v>
      </c>
      <c r="AB109" s="157" t="e">
        <f>+'Zał.1_WPF_bazowy'!#REF!</f>
        <v>#REF!</v>
      </c>
      <c r="AC109" s="157" t="e">
        <f>+'Zał.1_WPF_bazowy'!#REF!</f>
        <v>#REF!</v>
      </c>
      <c r="AD109" s="157" t="e">
        <f>+'Zał.1_WPF_bazowy'!#REF!</f>
        <v>#REF!</v>
      </c>
      <c r="AE109" s="157" t="e">
        <f>+'Zał.1_WPF_bazowy'!#REF!</f>
        <v>#REF!</v>
      </c>
      <c r="AF109" s="157" t="e">
        <f>+'Zał.1_WPF_bazowy'!#REF!</f>
        <v>#REF!</v>
      </c>
      <c r="AG109" s="157" t="e">
        <f>+'Zał.1_WPF_bazowy'!#REF!</f>
        <v>#REF!</v>
      </c>
      <c r="AH109" s="157" t="e">
        <f>+'Zał.1_WPF_bazowy'!#REF!</f>
        <v>#REF!</v>
      </c>
      <c r="AI109" s="157" t="e">
        <f>+'Zał.1_WPF_bazowy'!#REF!</f>
        <v>#REF!</v>
      </c>
      <c r="AJ109" s="157" t="e">
        <f>+'Zał.1_WPF_bazowy'!#REF!</f>
        <v>#REF!</v>
      </c>
      <c r="AK109" s="157" t="e">
        <f>+'Zał.1_WPF_bazowy'!#REF!</f>
        <v>#REF!</v>
      </c>
      <c r="AL109" s="158" t="e">
        <f>+'Zał.1_WPF_bazowy'!#REF!</f>
        <v>#REF!</v>
      </c>
    </row>
    <row r="110" spans="1:38" ht="14.25" outlineLevel="2">
      <c r="A110" s="243" t="s">
        <v>28</v>
      </c>
      <c r="B110" s="294" t="s">
        <v>174</v>
      </c>
      <c r="C110" s="295"/>
      <c r="D110" s="296" t="s">
        <v>441</v>
      </c>
      <c r="E110" s="302" t="e">
        <f>'Zał.1_WPF_bazowy'!#REF!</f>
        <v>#REF!</v>
      </c>
      <c r="F110" s="303" t="e">
        <f>'Zał.1_WPF_bazowy'!#REF!</f>
        <v>#REF!</v>
      </c>
      <c r="G110" s="303" t="e">
        <f>'Zał.1_WPF_bazowy'!#REF!</f>
        <v>#REF!</v>
      </c>
      <c r="H110" s="304" t="e">
        <f>'Zał.1_WPF_bazowy'!#REF!</f>
        <v>#REF!</v>
      </c>
      <c r="I110" s="305">
        <f>+'Zał.1_WPF_bazowy'!E110</f>
        <v>0</v>
      </c>
      <c r="J110" s="306">
        <f>+'Zał.1_WPF_bazowy'!F110</f>
        <v>0</v>
      </c>
      <c r="K110" s="306">
        <f>+'Zał.1_WPF_bazowy'!G110</f>
        <v>0</v>
      </c>
      <c r="L110" s="306">
        <f>+'Zał.1_WPF_bazowy'!H110</f>
        <v>0</v>
      </c>
      <c r="M110" s="306">
        <f>+'Zał.1_WPF_bazowy'!I110</f>
        <v>0</v>
      </c>
      <c r="N110" s="306">
        <f>+'Zał.1_WPF_bazowy'!J110</f>
        <v>0</v>
      </c>
      <c r="O110" s="306">
        <f>+'Zał.1_WPF_bazowy'!K110</f>
        <v>0</v>
      </c>
      <c r="P110" s="306">
        <f>+'Zał.1_WPF_bazowy'!L110</f>
        <v>0</v>
      </c>
      <c r="Q110" s="306">
        <f>+'Zał.1_WPF_bazowy'!M110</f>
        <v>0</v>
      </c>
      <c r="R110" s="306">
        <f>+'Zał.1_WPF_bazowy'!N110</f>
        <v>0</v>
      </c>
      <c r="S110" s="306" t="e">
        <f>+'Zał.1_WPF_bazowy'!#REF!</f>
        <v>#REF!</v>
      </c>
      <c r="T110" s="306" t="e">
        <f>+'Zał.1_WPF_bazowy'!#REF!</f>
        <v>#REF!</v>
      </c>
      <c r="U110" s="306" t="e">
        <f>+'Zał.1_WPF_bazowy'!#REF!</f>
        <v>#REF!</v>
      </c>
      <c r="V110" s="306" t="e">
        <f>+'Zał.1_WPF_bazowy'!#REF!</f>
        <v>#REF!</v>
      </c>
      <c r="W110" s="306" t="e">
        <f>+'Zał.1_WPF_bazowy'!#REF!</f>
        <v>#REF!</v>
      </c>
      <c r="X110" s="306" t="e">
        <f>+'Zał.1_WPF_bazowy'!#REF!</f>
        <v>#REF!</v>
      </c>
      <c r="Y110" s="306" t="e">
        <f>+'Zał.1_WPF_bazowy'!#REF!</f>
        <v>#REF!</v>
      </c>
      <c r="Z110" s="306" t="e">
        <f>+'Zał.1_WPF_bazowy'!#REF!</f>
        <v>#REF!</v>
      </c>
      <c r="AA110" s="306" t="e">
        <f>+'Zał.1_WPF_bazowy'!#REF!</f>
        <v>#REF!</v>
      </c>
      <c r="AB110" s="306" t="e">
        <f>+'Zał.1_WPF_bazowy'!#REF!</f>
        <v>#REF!</v>
      </c>
      <c r="AC110" s="306" t="e">
        <f>+'Zał.1_WPF_bazowy'!#REF!</f>
        <v>#REF!</v>
      </c>
      <c r="AD110" s="306" t="e">
        <f>+'Zał.1_WPF_bazowy'!#REF!</f>
        <v>#REF!</v>
      </c>
      <c r="AE110" s="306" t="e">
        <f>+'Zał.1_WPF_bazowy'!#REF!</f>
        <v>#REF!</v>
      </c>
      <c r="AF110" s="306" t="e">
        <f>+'Zał.1_WPF_bazowy'!#REF!</f>
        <v>#REF!</v>
      </c>
      <c r="AG110" s="306" t="e">
        <f>+'Zał.1_WPF_bazowy'!#REF!</f>
        <v>#REF!</v>
      </c>
      <c r="AH110" s="306" t="e">
        <f>+'Zał.1_WPF_bazowy'!#REF!</f>
        <v>#REF!</v>
      </c>
      <c r="AI110" s="306" t="e">
        <f>+'Zał.1_WPF_bazowy'!#REF!</f>
        <v>#REF!</v>
      </c>
      <c r="AJ110" s="306" t="e">
        <f>+'Zał.1_WPF_bazowy'!#REF!</f>
        <v>#REF!</v>
      </c>
      <c r="AK110" s="306" t="e">
        <f>+'Zał.1_WPF_bazowy'!#REF!</f>
        <v>#REF!</v>
      </c>
      <c r="AL110" s="307" t="e">
        <f>+'Zał.1_WPF_bazowy'!#REF!</f>
        <v>#REF!</v>
      </c>
    </row>
    <row r="111" spans="1:38" ht="14.25" outlineLevel="1">
      <c r="A111" s="243"/>
      <c r="B111" s="299">
        <v>15</v>
      </c>
      <c r="C111" s="300"/>
      <c r="D111" s="301" t="s">
        <v>391</v>
      </c>
      <c r="E111" s="308" t="s">
        <v>28</v>
      </c>
      <c r="F111" s="309" t="s">
        <v>28</v>
      </c>
      <c r="G111" s="309" t="s">
        <v>28</v>
      </c>
      <c r="H111" s="310" t="s">
        <v>28</v>
      </c>
      <c r="I111" s="311" t="s">
        <v>28</v>
      </c>
      <c r="J111" s="312" t="s">
        <v>28</v>
      </c>
      <c r="K111" s="312" t="s">
        <v>28</v>
      </c>
      <c r="L111" s="312" t="s">
        <v>28</v>
      </c>
      <c r="M111" s="312" t="s">
        <v>28</v>
      </c>
      <c r="N111" s="312" t="s">
        <v>28</v>
      </c>
      <c r="O111" s="312" t="s">
        <v>28</v>
      </c>
      <c r="P111" s="312" t="s">
        <v>28</v>
      </c>
      <c r="Q111" s="312" t="s">
        <v>28</v>
      </c>
      <c r="R111" s="312" t="s">
        <v>28</v>
      </c>
      <c r="S111" s="312" t="s">
        <v>28</v>
      </c>
      <c r="T111" s="312" t="s">
        <v>28</v>
      </c>
      <c r="U111" s="312" t="s">
        <v>28</v>
      </c>
      <c r="V111" s="312" t="s">
        <v>28</v>
      </c>
      <c r="W111" s="312" t="s">
        <v>28</v>
      </c>
      <c r="X111" s="312" t="s">
        <v>28</v>
      </c>
      <c r="Y111" s="312" t="s">
        <v>28</v>
      </c>
      <c r="Z111" s="312" t="s">
        <v>28</v>
      </c>
      <c r="AA111" s="312" t="s">
        <v>28</v>
      </c>
      <c r="AB111" s="312" t="s">
        <v>28</v>
      </c>
      <c r="AC111" s="312" t="s">
        <v>28</v>
      </c>
      <c r="AD111" s="312" t="s">
        <v>28</v>
      </c>
      <c r="AE111" s="312" t="s">
        <v>28</v>
      </c>
      <c r="AF111" s="312" t="s">
        <v>28</v>
      </c>
      <c r="AG111" s="312" t="s">
        <v>28</v>
      </c>
      <c r="AH111" s="312" t="s">
        <v>28</v>
      </c>
      <c r="AI111" s="312" t="s">
        <v>28</v>
      </c>
      <c r="AJ111" s="312" t="s">
        <v>28</v>
      </c>
      <c r="AK111" s="312" t="s">
        <v>28</v>
      </c>
      <c r="AL111" s="313" t="s">
        <v>28</v>
      </c>
    </row>
    <row r="112" spans="1:38" ht="14.25" outlineLevel="2">
      <c r="A112" s="243"/>
      <c r="B112" s="30" t="s">
        <v>392</v>
      </c>
      <c r="C112" s="79"/>
      <c r="D112" s="198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5" t="e">
        <f>'Zał.1_WPF_bazowy'!#REF!</f>
        <v>#REF!</v>
      </c>
      <c r="I112" s="156">
        <f>+'Zał.1_WPF_bazowy'!E112</f>
        <v>0</v>
      </c>
      <c r="J112" s="157">
        <f>+'Zał.1_WPF_bazowy'!F112</f>
        <v>0</v>
      </c>
      <c r="K112" s="157">
        <f>+'Zał.1_WPF_bazowy'!G112</f>
        <v>0</v>
      </c>
      <c r="L112" s="157">
        <f>+'Zał.1_WPF_bazowy'!H112</f>
        <v>0</v>
      </c>
      <c r="M112" s="157">
        <f>+'Zał.1_WPF_bazowy'!I112</f>
        <v>0</v>
      </c>
      <c r="N112" s="157">
        <f>+'Zał.1_WPF_bazowy'!J112</f>
        <v>0</v>
      </c>
      <c r="O112" s="157">
        <f>+'Zał.1_WPF_bazowy'!K112</f>
        <v>0</v>
      </c>
      <c r="P112" s="157">
        <f>+'Zał.1_WPF_bazowy'!L112</f>
        <v>0</v>
      </c>
      <c r="Q112" s="157">
        <f>+'Zał.1_WPF_bazowy'!M112</f>
        <v>0</v>
      </c>
      <c r="R112" s="157">
        <f>+'Zał.1_WPF_bazowy'!N112</f>
        <v>0</v>
      </c>
      <c r="S112" s="157" t="e">
        <f>+'Zał.1_WPF_bazowy'!#REF!</f>
        <v>#REF!</v>
      </c>
      <c r="T112" s="157" t="e">
        <f>+'Zał.1_WPF_bazowy'!#REF!</f>
        <v>#REF!</v>
      </c>
      <c r="U112" s="157" t="e">
        <f>+'Zał.1_WPF_bazowy'!#REF!</f>
        <v>#REF!</v>
      </c>
      <c r="V112" s="157" t="e">
        <f>+'Zał.1_WPF_bazowy'!#REF!</f>
        <v>#REF!</v>
      </c>
      <c r="W112" s="157" t="e">
        <f>+'Zał.1_WPF_bazowy'!#REF!</f>
        <v>#REF!</v>
      </c>
      <c r="X112" s="157" t="e">
        <f>+'Zał.1_WPF_bazowy'!#REF!</f>
        <v>#REF!</v>
      </c>
      <c r="Y112" s="157" t="e">
        <f>+'Zał.1_WPF_bazowy'!#REF!</f>
        <v>#REF!</v>
      </c>
      <c r="Z112" s="157" t="e">
        <f>+'Zał.1_WPF_bazowy'!#REF!</f>
        <v>#REF!</v>
      </c>
      <c r="AA112" s="157" t="e">
        <f>+'Zał.1_WPF_bazowy'!#REF!</f>
        <v>#REF!</v>
      </c>
      <c r="AB112" s="157" t="e">
        <f>+'Zał.1_WPF_bazowy'!#REF!</f>
        <v>#REF!</v>
      </c>
      <c r="AC112" s="157" t="e">
        <f>+'Zał.1_WPF_bazowy'!#REF!</f>
        <v>#REF!</v>
      </c>
      <c r="AD112" s="157" t="e">
        <f>+'Zał.1_WPF_bazowy'!#REF!</f>
        <v>#REF!</v>
      </c>
      <c r="AE112" s="157" t="e">
        <f>+'Zał.1_WPF_bazowy'!#REF!</f>
        <v>#REF!</v>
      </c>
      <c r="AF112" s="157" t="e">
        <f>+'Zał.1_WPF_bazowy'!#REF!</f>
        <v>#REF!</v>
      </c>
      <c r="AG112" s="157" t="e">
        <f>+'Zał.1_WPF_bazowy'!#REF!</f>
        <v>#REF!</v>
      </c>
      <c r="AH112" s="157" t="e">
        <f>+'Zał.1_WPF_bazowy'!#REF!</f>
        <v>#REF!</v>
      </c>
      <c r="AI112" s="157" t="e">
        <f>+'Zał.1_WPF_bazowy'!#REF!</f>
        <v>#REF!</v>
      </c>
      <c r="AJ112" s="157" t="e">
        <f>+'Zał.1_WPF_bazowy'!#REF!</f>
        <v>#REF!</v>
      </c>
      <c r="AK112" s="157" t="e">
        <f>+'Zał.1_WPF_bazowy'!#REF!</f>
        <v>#REF!</v>
      </c>
      <c r="AL112" s="158" t="e">
        <f>+'Zał.1_WPF_bazowy'!#REF!</f>
        <v>#REF!</v>
      </c>
    </row>
    <row r="113" spans="1:38" ht="14.25" outlineLevel="2">
      <c r="A113" s="243" t="s">
        <v>28</v>
      </c>
      <c r="B113" s="30" t="s">
        <v>394</v>
      </c>
      <c r="C113" s="79"/>
      <c r="D113" s="199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5" t="e">
        <f>'Zał.1_WPF_bazowy'!#REF!</f>
        <v>#REF!</v>
      </c>
      <c r="I113" s="156">
        <f>+'Zał.1_WPF_bazowy'!E113</f>
        <v>0</v>
      </c>
      <c r="J113" s="157">
        <f>+'Zał.1_WPF_bazowy'!F113</f>
        <v>0</v>
      </c>
      <c r="K113" s="157">
        <f>+'Zał.1_WPF_bazowy'!G113</f>
        <v>0</v>
      </c>
      <c r="L113" s="157">
        <f>+'Zał.1_WPF_bazowy'!H113</f>
        <v>0</v>
      </c>
      <c r="M113" s="157">
        <f>+'Zał.1_WPF_bazowy'!I113</f>
        <v>0</v>
      </c>
      <c r="N113" s="157">
        <f>+'Zał.1_WPF_bazowy'!J113</f>
        <v>0</v>
      </c>
      <c r="O113" s="157">
        <f>+'Zał.1_WPF_bazowy'!K113</f>
        <v>0</v>
      </c>
      <c r="P113" s="157">
        <f>+'Zał.1_WPF_bazowy'!L113</f>
        <v>0</v>
      </c>
      <c r="Q113" s="157">
        <f>+'Zał.1_WPF_bazowy'!M113</f>
        <v>0</v>
      </c>
      <c r="R113" s="157">
        <f>+'Zał.1_WPF_bazowy'!N113</f>
        <v>0</v>
      </c>
      <c r="S113" s="157" t="e">
        <f>+'Zał.1_WPF_bazowy'!#REF!</f>
        <v>#REF!</v>
      </c>
      <c r="T113" s="157" t="e">
        <f>+'Zał.1_WPF_bazowy'!#REF!</f>
        <v>#REF!</v>
      </c>
      <c r="U113" s="157" t="e">
        <f>+'Zał.1_WPF_bazowy'!#REF!</f>
        <v>#REF!</v>
      </c>
      <c r="V113" s="157" t="e">
        <f>+'Zał.1_WPF_bazowy'!#REF!</f>
        <v>#REF!</v>
      </c>
      <c r="W113" s="157" t="e">
        <f>+'Zał.1_WPF_bazowy'!#REF!</f>
        <v>#REF!</v>
      </c>
      <c r="X113" s="157" t="e">
        <f>+'Zał.1_WPF_bazowy'!#REF!</f>
        <v>#REF!</v>
      </c>
      <c r="Y113" s="157" t="e">
        <f>+'Zał.1_WPF_bazowy'!#REF!</f>
        <v>#REF!</v>
      </c>
      <c r="Z113" s="157" t="e">
        <f>+'Zał.1_WPF_bazowy'!#REF!</f>
        <v>#REF!</v>
      </c>
      <c r="AA113" s="157" t="e">
        <f>+'Zał.1_WPF_bazowy'!#REF!</f>
        <v>#REF!</v>
      </c>
      <c r="AB113" s="157" t="e">
        <f>+'Zał.1_WPF_bazowy'!#REF!</f>
        <v>#REF!</v>
      </c>
      <c r="AC113" s="157" t="e">
        <f>+'Zał.1_WPF_bazowy'!#REF!</f>
        <v>#REF!</v>
      </c>
      <c r="AD113" s="157" t="e">
        <f>+'Zał.1_WPF_bazowy'!#REF!</f>
        <v>#REF!</v>
      </c>
      <c r="AE113" s="157" t="e">
        <f>+'Zał.1_WPF_bazowy'!#REF!</f>
        <v>#REF!</v>
      </c>
      <c r="AF113" s="157" t="e">
        <f>+'Zał.1_WPF_bazowy'!#REF!</f>
        <v>#REF!</v>
      </c>
      <c r="AG113" s="157" t="e">
        <f>+'Zał.1_WPF_bazowy'!#REF!</f>
        <v>#REF!</v>
      </c>
      <c r="AH113" s="157" t="e">
        <f>+'Zał.1_WPF_bazowy'!#REF!</f>
        <v>#REF!</v>
      </c>
      <c r="AI113" s="157" t="e">
        <f>+'Zał.1_WPF_bazowy'!#REF!</f>
        <v>#REF!</v>
      </c>
      <c r="AJ113" s="157" t="e">
        <f>+'Zał.1_WPF_bazowy'!#REF!</f>
        <v>#REF!</v>
      </c>
      <c r="AK113" s="157" t="e">
        <f>+'Zał.1_WPF_bazowy'!#REF!</f>
        <v>#REF!</v>
      </c>
      <c r="AL113" s="158" t="e">
        <f>+'Zał.1_WPF_bazowy'!#REF!</f>
        <v>#REF!</v>
      </c>
    </row>
    <row r="114" spans="1:38" ht="24" outlineLevel="2">
      <c r="A114" s="243" t="s">
        <v>28</v>
      </c>
      <c r="B114" s="238" t="s">
        <v>396</v>
      </c>
      <c r="C114" s="261"/>
      <c r="D114" s="209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3" t="e">
        <f>'Zał.1_WPF_bazowy'!#REF!</f>
        <v>#REF!</v>
      </c>
      <c r="I114" s="174">
        <f>+'Zał.1_WPF_bazowy'!E114</f>
        <v>0</v>
      </c>
      <c r="J114" s="175">
        <f>+'Zał.1_WPF_bazowy'!F114</f>
        <v>0</v>
      </c>
      <c r="K114" s="175">
        <f>+'Zał.1_WPF_bazowy'!G114</f>
        <v>0</v>
      </c>
      <c r="L114" s="175">
        <f>+'Zał.1_WPF_bazowy'!H114</f>
        <v>0</v>
      </c>
      <c r="M114" s="175">
        <f>+'Zał.1_WPF_bazowy'!I114</f>
        <v>0</v>
      </c>
      <c r="N114" s="175">
        <f>+'Zał.1_WPF_bazowy'!J114</f>
        <v>0</v>
      </c>
      <c r="O114" s="175">
        <f>+'Zał.1_WPF_bazowy'!K114</f>
        <v>0</v>
      </c>
      <c r="P114" s="175">
        <f>+'Zał.1_WPF_bazowy'!L114</f>
        <v>0</v>
      </c>
      <c r="Q114" s="175">
        <f>+'Zał.1_WPF_bazowy'!M114</f>
        <v>0</v>
      </c>
      <c r="R114" s="175">
        <f>+'Zał.1_WPF_bazowy'!N114</f>
        <v>0</v>
      </c>
      <c r="S114" s="175" t="e">
        <f>+'Zał.1_WPF_bazowy'!#REF!</f>
        <v>#REF!</v>
      </c>
      <c r="T114" s="175" t="e">
        <f>+'Zał.1_WPF_bazowy'!#REF!</f>
        <v>#REF!</v>
      </c>
      <c r="U114" s="175" t="e">
        <f>+'Zał.1_WPF_bazowy'!#REF!</f>
        <v>#REF!</v>
      </c>
      <c r="V114" s="175" t="e">
        <f>+'Zał.1_WPF_bazowy'!#REF!</f>
        <v>#REF!</v>
      </c>
      <c r="W114" s="175" t="e">
        <f>+'Zał.1_WPF_bazowy'!#REF!</f>
        <v>#REF!</v>
      </c>
      <c r="X114" s="175" t="e">
        <f>+'Zał.1_WPF_bazowy'!#REF!</f>
        <v>#REF!</v>
      </c>
      <c r="Y114" s="175" t="e">
        <f>+'Zał.1_WPF_bazowy'!#REF!</f>
        <v>#REF!</v>
      </c>
      <c r="Z114" s="175" t="e">
        <f>+'Zał.1_WPF_bazowy'!#REF!</f>
        <v>#REF!</v>
      </c>
      <c r="AA114" s="175" t="e">
        <f>+'Zał.1_WPF_bazowy'!#REF!</f>
        <v>#REF!</v>
      </c>
      <c r="AB114" s="175" t="e">
        <f>+'Zał.1_WPF_bazowy'!#REF!</f>
        <v>#REF!</v>
      </c>
      <c r="AC114" s="175" t="e">
        <f>+'Zał.1_WPF_bazowy'!#REF!</f>
        <v>#REF!</v>
      </c>
      <c r="AD114" s="175" t="e">
        <f>+'Zał.1_WPF_bazowy'!#REF!</f>
        <v>#REF!</v>
      </c>
      <c r="AE114" s="175" t="e">
        <f>+'Zał.1_WPF_bazowy'!#REF!</f>
        <v>#REF!</v>
      </c>
      <c r="AF114" s="175" t="e">
        <f>+'Zał.1_WPF_bazowy'!#REF!</f>
        <v>#REF!</v>
      </c>
      <c r="AG114" s="175" t="e">
        <f>+'Zał.1_WPF_bazowy'!#REF!</f>
        <v>#REF!</v>
      </c>
      <c r="AH114" s="175" t="e">
        <f>+'Zał.1_WPF_bazowy'!#REF!</f>
        <v>#REF!</v>
      </c>
      <c r="AI114" s="175" t="e">
        <f>+'Zał.1_WPF_bazowy'!#REF!</f>
        <v>#REF!</v>
      </c>
      <c r="AJ114" s="175" t="e">
        <f>+'Zał.1_WPF_bazowy'!#REF!</f>
        <v>#REF!</v>
      </c>
      <c r="AK114" s="175" t="e">
        <f>+'Zał.1_WPF_bazowy'!#REF!</f>
        <v>#REF!</v>
      </c>
      <c r="AL114" s="176" t="e">
        <f>+'Zał.1_WPF_bazowy'!#REF!</f>
        <v>#REF!</v>
      </c>
    </row>
    <row r="115" spans="1:38" ht="24" outlineLevel="1">
      <c r="A115" s="243"/>
      <c r="B115" s="278">
        <v>16</v>
      </c>
      <c r="C115" s="277"/>
      <c r="D115" s="276" t="s">
        <v>465</v>
      </c>
      <c r="E115" s="275" t="s">
        <v>28</v>
      </c>
      <c r="F115" s="274" t="s">
        <v>28</v>
      </c>
      <c r="G115" s="274" t="s">
        <v>28</v>
      </c>
      <c r="H115" s="273" t="s">
        <v>28</v>
      </c>
      <c r="I115" s="272" t="s">
        <v>28</v>
      </c>
      <c r="J115" s="272" t="s">
        <v>28</v>
      </c>
      <c r="K115" s="272" t="s">
        <v>28</v>
      </c>
      <c r="L115" s="272" t="s">
        <v>28</v>
      </c>
      <c r="M115" s="272" t="s">
        <v>28</v>
      </c>
      <c r="N115" s="272" t="s">
        <v>28</v>
      </c>
      <c r="O115" s="272" t="s">
        <v>28</v>
      </c>
      <c r="P115" s="272" t="s">
        <v>28</v>
      </c>
      <c r="Q115" s="272" t="s">
        <v>28</v>
      </c>
      <c r="R115" s="272" t="s">
        <v>28</v>
      </c>
      <c r="S115" s="272" t="s">
        <v>28</v>
      </c>
      <c r="T115" s="272" t="s">
        <v>28</v>
      </c>
      <c r="U115" s="272" t="s">
        <v>28</v>
      </c>
      <c r="V115" s="272" t="s">
        <v>28</v>
      </c>
      <c r="W115" s="272" t="s">
        <v>28</v>
      </c>
      <c r="X115" s="272" t="s">
        <v>28</v>
      </c>
      <c r="Y115" s="272" t="s">
        <v>28</v>
      </c>
      <c r="Z115" s="272" t="s">
        <v>28</v>
      </c>
      <c r="AA115" s="272" t="s">
        <v>28</v>
      </c>
      <c r="AB115" s="272" t="s">
        <v>28</v>
      </c>
      <c r="AC115" s="272" t="s">
        <v>28</v>
      </c>
      <c r="AD115" s="272" t="s">
        <v>28</v>
      </c>
      <c r="AE115" s="272" t="s">
        <v>28</v>
      </c>
      <c r="AF115" s="272" t="s">
        <v>28</v>
      </c>
      <c r="AG115" s="272" t="s">
        <v>28</v>
      </c>
      <c r="AH115" s="272" t="s">
        <v>28</v>
      </c>
      <c r="AI115" s="272" t="s">
        <v>28</v>
      </c>
      <c r="AJ115" s="272" t="s">
        <v>28</v>
      </c>
      <c r="AK115" s="272" t="s">
        <v>28</v>
      </c>
      <c r="AL115" s="271" t="s">
        <v>28</v>
      </c>
    </row>
    <row r="116" spans="1:38" ht="14.25" outlineLevel="2">
      <c r="A116" s="243"/>
      <c r="B116" s="289" t="s">
        <v>469</v>
      </c>
      <c r="C116" s="280"/>
      <c r="D116" s="291" t="s">
        <v>466</v>
      </c>
      <c r="E116" s="287" t="s">
        <v>28</v>
      </c>
      <c r="F116" s="286" t="s">
        <v>28</v>
      </c>
      <c r="G116" s="286" t="s">
        <v>28</v>
      </c>
      <c r="H116" s="284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>
        <f t="shared" si="20"/>
      </c>
      <c r="R116" s="33">
        <f t="shared" si="20"/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79" t="e">
        <f t="shared" si="20"/>
        <v>#REF!</v>
      </c>
    </row>
    <row r="117" spans="1:38" ht="14.25" outlineLevel="2">
      <c r="A117" s="243" t="s">
        <v>28</v>
      </c>
      <c r="B117" s="289" t="s">
        <v>470</v>
      </c>
      <c r="C117" s="280"/>
      <c r="D117" s="291" t="s">
        <v>467</v>
      </c>
      <c r="E117" s="287" t="s">
        <v>28</v>
      </c>
      <c r="F117" s="286" t="s">
        <v>28</v>
      </c>
      <c r="G117" s="286" t="s">
        <v>28</v>
      </c>
      <c r="H117" s="284" t="s">
        <v>28</v>
      </c>
      <c r="I117" s="282" t="e">
        <f>IF(I57&lt;=I59,"",I59-I57)</f>
        <v>#REF!</v>
      </c>
      <c r="J117" s="282" t="e">
        <f aca="true" t="shared" si="21" ref="J117:AL117">IF(J57&lt;=J59,"",J59-J57)</f>
        <v>#REF!</v>
      </c>
      <c r="K117" s="282" t="e">
        <f t="shared" si="21"/>
        <v>#REF!</v>
      </c>
      <c r="L117" s="282">
        <f t="shared" si="21"/>
      </c>
      <c r="M117" s="282">
        <f t="shared" si="21"/>
      </c>
      <c r="N117" s="282">
        <f t="shared" si="21"/>
      </c>
      <c r="O117" s="282">
        <f t="shared" si="21"/>
      </c>
      <c r="P117" s="282">
        <f t="shared" si="21"/>
      </c>
      <c r="Q117" s="282">
        <f t="shared" si="21"/>
      </c>
      <c r="R117" s="282">
        <f t="shared" si="21"/>
      </c>
      <c r="S117" s="282" t="e">
        <f t="shared" si="21"/>
        <v>#REF!</v>
      </c>
      <c r="T117" s="282" t="e">
        <f t="shared" si="21"/>
        <v>#REF!</v>
      </c>
      <c r="U117" s="282" t="e">
        <f t="shared" si="21"/>
        <v>#REF!</v>
      </c>
      <c r="V117" s="282" t="e">
        <f t="shared" si="21"/>
        <v>#REF!</v>
      </c>
      <c r="W117" s="282" t="e">
        <f t="shared" si="21"/>
        <v>#REF!</v>
      </c>
      <c r="X117" s="282" t="e">
        <f t="shared" si="21"/>
        <v>#REF!</v>
      </c>
      <c r="Y117" s="282" t="e">
        <f t="shared" si="21"/>
        <v>#REF!</v>
      </c>
      <c r="Z117" s="282" t="e">
        <f t="shared" si="21"/>
        <v>#REF!</v>
      </c>
      <c r="AA117" s="282" t="e">
        <f t="shared" si="21"/>
        <v>#REF!</v>
      </c>
      <c r="AB117" s="282" t="e">
        <f t="shared" si="21"/>
        <v>#REF!</v>
      </c>
      <c r="AC117" s="282" t="e">
        <f t="shared" si="21"/>
        <v>#REF!</v>
      </c>
      <c r="AD117" s="282" t="e">
        <f t="shared" si="21"/>
        <v>#REF!</v>
      </c>
      <c r="AE117" s="282" t="e">
        <f t="shared" si="21"/>
        <v>#REF!</v>
      </c>
      <c r="AF117" s="282" t="e">
        <f t="shared" si="21"/>
        <v>#REF!</v>
      </c>
      <c r="AG117" s="282" t="e">
        <f t="shared" si="21"/>
        <v>#REF!</v>
      </c>
      <c r="AH117" s="282" t="e">
        <f t="shared" si="21"/>
        <v>#REF!</v>
      </c>
      <c r="AI117" s="282" t="e">
        <f t="shared" si="21"/>
        <v>#REF!</v>
      </c>
      <c r="AJ117" s="282" t="e">
        <f t="shared" si="21"/>
        <v>#REF!</v>
      </c>
      <c r="AK117" s="282" t="e">
        <f t="shared" si="21"/>
        <v>#REF!</v>
      </c>
      <c r="AL117" s="270" t="e">
        <f t="shared" si="21"/>
        <v>#REF!</v>
      </c>
    </row>
    <row r="118" spans="1:38" ht="14.25" outlineLevel="2">
      <c r="A118" s="243" t="s">
        <v>28</v>
      </c>
      <c r="B118" s="290" t="s">
        <v>471</v>
      </c>
      <c r="C118" s="293"/>
      <c r="D118" s="292" t="s">
        <v>468</v>
      </c>
      <c r="E118" s="288" t="s">
        <v>28</v>
      </c>
      <c r="F118" s="285" t="s">
        <v>28</v>
      </c>
      <c r="G118" s="285" t="s">
        <v>28</v>
      </c>
      <c r="H118" s="283" t="s">
        <v>28</v>
      </c>
      <c r="I118" s="281" t="e">
        <f>IF(I57&lt;=I60,"",I60-I57)</f>
        <v>#REF!</v>
      </c>
      <c r="J118" s="281" t="e">
        <f aca="true" t="shared" si="22" ref="J118:AL118">IF(J57&lt;=J60,"",J60-J57)</f>
        <v>#REF!</v>
      </c>
      <c r="K118" s="281" t="e">
        <f t="shared" si="22"/>
        <v>#REF!</v>
      </c>
      <c r="L118" s="281">
        <f t="shared" si="22"/>
      </c>
      <c r="M118" s="281">
        <f t="shared" si="22"/>
      </c>
      <c r="N118" s="281">
        <f t="shared" si="22"/>
      </c>
      <c r="O118" s="281">
        <f t="shared" si="22"/>
      </c>
      <c r="P118" s="281">
        <f t="shared" si="22"/>
      </c>
      <c r="Q118" s="281">
        <f t="shared" si="22"/>
      </c>
      <c r="R118" s="281">
        <f t="shared" si="22"/>
      </c>
      <c r="S118" s="281" t="e">
        <f t="shared" si="22"/>
        <v>#REF!</v>
      </c>
      <c r="T118" s="281" t="e">
        <f t="shared" si="22"/>
        <v>#REF!</v>
      </c>
      <c r="U118" s="281" t="e">
        <f t="shared" si="22"/>
        <v>#REF!</v>
      </c>
      <c r="V118" s="281" t="e">
        <f t="shared" si="22"/>
        <v>#REF!</v>
      </c>
      <c r="W118" s="281" t="e">
        <f t="shared" si="22"/>
        <v>#REF!</v>
      </c>
      <c r="X118" s="281" t="e">
        <f t="shared" si="22"/>
        <v>#REF!</v>
      </c>
      <c r="Y118" s="281" t="e">
        <f t="shared" si="22"/>
        <v>#REF!</v>
      </c>
      <c r="Z118" s="281" t="e">
        <f t="shared" si="22"/>
        <v>#REF!</v>
      </c>
      <c r="AA118" s="281" t="e">
        <f t="shared" si="22"/>
        <v>#REF!</v>
      </c>
      <c r="AB118" s="281" t="e">
        <f t="shared" si="22"/>
        <v>#REF!</v>
      </c>
      <c r="AC118" s="281" t="e">
        <f t="shared" si="22"/>
        <v>#REF!</v>
      </c>
      <c r="AD118" s="281" t="e">
        <f t="shared" si="22"/>
        <v>#REF!</v>
      </c>
      <c r="AE118" s="281" t="e">
        <f t="shared" si="22"/>
        <v>#REF!</v>
      </c>
      <c r="AF118" s="281" t="e">
        <f t="shared" si="22"/>
        <v>#REF!</v>
      </c>
      <c r="AG118" s="281" t="e">
        <f t="shared" si="22"/>
        <v>#REF!</v>
      </c>
      <c r="AH118" s="281" t="e">
        <f t="shared" si="22"/>
        <v>#REF!</v>
      </c>
      <c r="AI118" s="281" t="e">
        <f t="shared" si="22"/>
        <v>#REF!</v>
      </c>
      <c r="AJ118" s="281" t="e">
        <f t="shared" si="22"/>
        <v>#REF!</v>
      </c>
      <c r="AK118" s="281" t="e">
        <f t="shared" si="22"/>
        <v>#REF!</v>
      </c>
      <c r="AL118" s="269" t="e">
        <f t="shared" si="22"/>
        <v>#REF!</v>
      </c>
    </row>
    <row r="119" spans="2:38" ht="14.25">
      <c r="B119" s="61"/>
      <c r="C119" s="61"/>
      <c r="D119" s="61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</row>
    <row r="120" spans="2:38" ht="14.25">
      <c r="B120" s="61"/>
      <c r="C120" s="61"/>
      <c r="D120" s="61"/>
      <c r="E120" s="177"/>
      <c r="F120" s="177"/>
      <c r="G120" s="177"/>
      <c r="H120" s="177"/>
      <c r="I120" s="177"/>
      <c r="J120" s="236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</row>
    <row r="121" spans="2:38" ht="14.25">
      <c r="B121" s="61"/>
      <c r="C121" s="61"/>
      <c r="D121" s="61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</row>
    <row r="122" spans="2:38" ht="14.25">
      <c r="B122" s="86"/>
      <c r="C122" s="86"/>
      <c r="D122" s="61"/>
      <c r="E122" s="178"/>
      <c r="F122" s="178"/>
      <c r="G122" s="178"/>
      <c r="H122" s="178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</row>
    <row r="123" spans="2:38" ht="14.25">
      <c r="B123" s="86"/>
      <c r="C123" s="86"/>
      <c r="D123" s="61"/>
      <c r="E123" s="178"/>
      <c r="F123" s="178"/>
      <c r="G123" s="178"/>
      <c r="H123" s="178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</row>
    <row r="124" spans="1:39" s="45" customFormat="1" ht="15">
      <c r="A124" s="213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3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3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3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3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3"/>
      <c r="B129" s="204"/>
      <c r="C129" s="205" t="s">
        <v>207</v>
      </c>
      <c r="D129" s="46" t="s">
        <v>252</v>
      </c>
      <c r="E129" s="222" t="s">
        <v>28</v>
      </c>
      <c r="F129" s="223" t="s">
        <v>28</v>
      </c>
      <c r="G129" s="223" t="s">
        <v>28</v>
      </c>
      <c r="H129" s="224" t="s">
        <v>28</v>
      </c>
      <c r="I129" s="186" t="str">
        <f aca="true" t="shared" si="23" ref="I129:AL129">IF(ROUND(I11+I33+I35,2)&gt;=ROUND(I22-I25,2),"TAK","NIE")</f>
        <v>TAK</v>
      </c>
      <c r="J129" s="182" t="str">
        <f t="shared" si="23"/>
        <v>TAK</v>
      </c>
      <c r="K129" s="182" t="str">
        <f t="shared" si="23"/>
        <v>TAK</v>
      </c>
      <c r="L129" s="182" t="str">
        <f t="shared" si="23"/>
        <v>TAK</v>
      </c>
      <c r="M129" s="182" t="str">
        <f t="shared" si="23"/>
        <v>TAK</v>
      </c>
      <c r="N129" s="182" t="str">
        <f t="shared" si="23"/>
        <v>TAK</v>
      </c>
      <c r="O129" s="182" t="str">
        <f t="shared" si="23"/>
        <v>TAK</v>
      </c>
      <c r="P129" s="182" t="str">
        <f t="shared" si="23"/>
        <v>TAK</v>
      </c>
      <c r="Q129" s="182" t="str">
        <f t="shared" si="23"/>
        <v>TAK</v>
      </c>
      <c r="R129" s="182" t="str">
        <f t="shared" si="23"/>
        <v>TAK</v>
      </c>
      <c r="S129" s="182" t="e">
        <f t="shared" si="23"/>
        <v>#REF!</v>
      </c>
      <c r="T129" s="182" t="e">
        <f t="shared" si="23"/>
        <v>#REF!</v>
      </c>
      <c r="U129" s="182" t="e">
        <f t="shared" si="23"/>
        <v>#REF!</v>
      </c>
      <c r="V129" s="182" t="e">
        <f t="shared" si="23"/>
        <v>#REF!</v>
      </c>
      <c r="W129" s="182" t="e">
        <f t="shared" si="23"/>
        <v>#REF!</v>
      </c>
      <c r="X129" s="182" t="e">
        <f t="shared" si="23"/>
        <v>#REF!</v>
      </c>
      <c r="Y129" s="182" t="e">
        <f t="shared" si="23"/>
        <v>#REF!</v>
      </c>
      <c r="Z129" s="182" t="e">
        <f t="shared" si="23"/>
        <v>#REF!</v>
      </c>
      <c r="AA129" s="182" t="e">
        <f t="shared" si="23"/>
        <v>#REF!</v>
      </c>
      <c r="AB129" s="182" t="e">
        <f t="shared" si="23"/>
        <v>#REF!</v>
      </c>
      <c r="AC129" s="182" t="e">
        <f t="shared" si="23"/>
        <v>#REF!</v>
      </c>
      <c r="AD129" s="182" t="e">
        <f t="shared" si="23"/>
        <v>#REF!</v>
      </c>
      <c r="AE129" s="182" t="e">
        <f t="shared" si="23"/>
        <v>#REF!</v>
      </c>
      <c r="AF129" s="182" t="e">
        <f t="shared" si="23"/>
        <v>#REF!</v>
      </c>
      <c r="AG129" s="182" t="e">
        <f t="shared" si="23"/>
        <v>#REF!</v>
      </c>
      <c r="AH129" s="182" t="e">
        <f t="shared" si="23"/>
        <v>#REF!</v>
      </c>
      <c r="AI129" s="182" t="e">
        <f t="shared" si="23"/>
        <v>#REF!</v>
      </c>
      <c r="AJ129" s="182" t="e">
        <f t="shared" si="23"/>
        <v>#REF!</v>
      </c>
      <c r="AK129" s="182" t="e">
        <f t="shared" si="23"/>
        <v>#REF!</v>
      </c>
      <c r="AL129" s="183" t="e">
        <f t="shared" si="23"/>
        <v>#REF!</v>
      </c>
    </row>
    <row r="130" spans="1:38" s="45" customFormat="1" ht="24" outlineLevel="2">
      <c r="A130" s="213"/>
      <c r="B130" s="206"/>
      <c r="C130" s="242" t="s">
        <v>205</v>
      </c>
      <c r="D130" s="47" t="s">
        <v>304</v>
      </c>
      <c r="E130" s="225" t="s">
        <v>28</v>
      </c>
      <c r="F130" s="226" t="s">
        <v>28</v>
      </c>
      <c r="G130" s="226" t="s">
        <v>28</v>
      </c>
      <c r="H130" s="227" t="s">
        <v>28</v>
      </c>
      <c r="I130" s="187" t="s">
        <v>28</v>
      </c>
      <c r="J130" s="180" t="s">
        <v>28</v>
      </c>
      <c r="K130" s="180" t="str">
        <f aca="true" t="shared" si="24" ref="K130:AL130">IF(K98=0,"TAK","BŁĄD")</f>
        <v>TAK</v>
      </c>
      <c r="L130" s="180" t="str">
        <f t="shared" si="24"/>
        <v>TAK</v>
      </c>
      <c r="M130" s="180" t="str">
        <f t="shared" si="24"/>
        <v>TAK</v>
      </c>
      <c r="N130" s="180" t="str">
        <f t="shared" si="24"/>
        <v>TAK</v>
      </c>
      <c r="O130" s="180" t="str">
        <f t="shared" si="24"/>
        <v>TAK</v>
      </c>
      <c r="P130" s="180" t="str">
        <f t="shared" si="24"/>
        <v>TAK</v>
      </c>
      <c r="Q130" s="180" t="str">
        <f t="shared" si="24"/>
        <v>TAK</v>
      </c>
      <c r="R130" s="180" t="str">
        <f t="shared" si="24"/>
        <v>TAK</v>
      </c>
      <c r="S130" s="180" t="e">
        <f t="shared" si="24"/>
        <v>#REF!</v>
      </c>
      <c r="T130" s="180" t="e">
        <f t="shared" si="24"/>
        <v>#REF!</v>
      </c>
      <c r="U130" s="180" t="e">
        <f t="shared" si="24"/>
        <v>#REF!</v>
      </c>
      <c r="V130" s="180" t="e">
        <f t="shared" si="24"/>
        <v>#REF!</v>
      </c>
      <c r="W130" s="180" t="e">
        <f t="shared" si="24"/>
        <v>#REF!</v>
      </c>
      <c r="X130" s="180" t="e">
        <f t="shared" si="24"/>
        <v>#REF!</v>
      </c>
      <c r="Y130" s="180" t="e">
        <f t="shared" si="24"/>
        <v>#REF!</v>
      </c>
      <c r="Z130" s="180" t="e">
        <f t="shared" si="24"/>
        <v>#REF!</v>
      </c>
      <c r="AA130" s="180" t="e">
        <f t="shared" si="24"/>
        <v>#REF!</v>
      </c>
      <c r="AB130" s="180" t="e">
        <f t="shared" si="24"/>
        <v>#REF!</v>
      </c>
      <c r="AC130" s="180" t="e">
        <f t="shared" si="24"/>
        <v>#REF!</v>
      </c>
      <c r="AD130" s="180" t="e">
        <f t="shared" si="24"/>
        <v>#REF!</v>
      </c>
      <c r="AE130" s="180" t="e">
        <f t="shared" si="24"/>
        <v>#REF!</v>
      </c>
      <c r="AF130" s="180" t="e">
        <f t="shared" si="24"/>
        <v>#REF!</v>
      </c>
      <c r="AG130" s="180" t="e">
        <f t="shared" si="24"/>
        <v>#REF!</v>
      </c>
      <c r="AH130" s="180" t="e">
        <f t="shared" si="24"/>
        <v>#REF!</v>
      </c>
      <c r="AI130" s="180" t="e">
        <f t="shared" si="24"/>
        <v>#REF!</v>
      </c>
      <c r="AJ130" s="180" t="e">
        <f t="shared" si="24"/>
        <v>#REF!</v>
      </c>
      <c r="AK130" s="180" t="e">
        <f t="shared" si="24"/>
        <v>#REF!</v>
      </c>
      <c r="AL130" s="181" t="e">
        <f t="shared" si="24"/>
        <v>#REF!</v>
      </c>
    </row>
    <row r="131" spans="1:38" s="45" customFormat="1" ht="14.25" outlineLevel="1">
      <c r="A131" s="213"/>
      <c r="B131" s="206"/>
      <c r="C131" s="242" t="s">
        <v>206</v>
      </c>
      <c r="D131" s="48" t="s">
        <v>253</v>
      </c>
      <c r="E131" s="225" t="s">
        <v>28</v>
      </c>
      <c r="F131" s="226" t="s">
        <v>28</v>
      </c>
      <c r="G131" s="226" t="s">
        <v>28</v>
      </c>
      <c r="H131" s="227" t="s">
        <v>28</v>
      </c>
      <c r="I131" s="192" t="str">
        <f aca="true" t="shared" si="25" ref="I131:AL131">IF(ROUND(I10+I32-I21-I41,2)=0,"OK",ROUND(I10+I32-I21-I41,2))</f>
        <v>OK</v>
      </c>
      <c r="J131" s="193" t="str">
        <f t="shared" si="25"/>
        <v>OK</v>
      </c>
      <c r="K131" s="193" t="str">
        <f t="shared" si="25"/>
        <v>OK</v>
      </c>
      <c r="L131" s="193" t="str">
        <f t="shared" si="25"/>
        <v>OK</v>
      </c>
      <c r="M131" s="193" t="str">
        <f t="shared" si="25"/>
        <v>OK</v>
      </c>
      <c r="N131" s="193" t="str">
        <f t="shared" si="25"/>
        <v>OK</v>
      </c>
      <c r="O131" s="193" t="str">
        <f t="shared" si="25"/>
        <v>OK</v>
      </c>
      <c r="P131" s="193" t="str">
        <f t="shared" si="25"/>
        <v>OK</v>
      </c>
      <c r="Q131" s="193" t="str">
        <f t="shared" si="25"/>
        <v>OK</v>
      </c>
      <c r="R131" s="193" t="str">
        <f t="shared" si="25"/>
        <v>OK</v>
      </c>
      <c r="S131" s="193" t="e">
        <f t="shared" si="25"/>
        <v>#REF!</v>
      </c>
      <c r="T131" s="193" t="e">
        <f t="shared" si="25"/>
        <v>#REF!</v>
      </c>
      <c r="U131" s="193" t="e">
        <f t="shared" si="25"/>
        <v>#REF!</v>
      </c>
      <c r="V131" s="193" t="e">
        <f t="shared" si="25"/>
        <v>#REF!</v>
      </c>
      <c r="W131" s="193" t="e">
        <f t="shared" si="25"/>
        <v>#REF!</v>
      </c>
      <c r="X131" s="193" t="e">
        <f t="shared" si="25"/>
        <v>#REF!</v>
      </c>
      <c r="Y131" s="193" t="e">
        <f t="shared" si="25"/>
        <v>#REF!</v>
      </c>
      <c r="Z131" s="193" t="e">
        <f t="shared" si="25"/>
        <v>#REF!</v>
      </c>
      <c r="AA131" s="193" t="e">
        <f t="shared" si="25"/>
        <v>#REF!</v>
      </c>
      <c r="AB131" s="193" t="e">
        <f t="shared" si="25"/>
        <v>#REF!</v>
      </c>
      <c r="AC131" s="193" t="e">
        <f t="shared" si="25"/>
        <v>#REF!</v>
      </c>
      <c r="AD131" s="193" t="e">
        <f t="shared" si="25"/>
        <v>#REF!</v>
      </c>
      <c r="AE131" s="193" t="e">
        <f t="shared" si="25"/>
        <v>#REF!</v>
      </c>
      <c r="AF131" s="193" t="e">
        <f t="shared" si="25"/>
        <v>#REF!</v>
      </c>
      <c r="AG131" s="193" t="e">
        <f t="shared" si="25"/>
        <v>#REF!</v>
      </c>
      <c r="AH131" s="193" t="e">
        <f t="shared" si="25"/>
        <v>#REF!</v>
      </c>
      <c r="AI131" s="193" t="e">
        <f t="shared" si="25"/>
        <v>#REF!</v>
      </c>
      <c r="AJ131" s="193" t="e">
        <f t="shared" si="25"/>
        <v>#REF!</v>
      </c>
      <c r="AK131" s="193" t="e">
        <f t="shared" si="25"/>
        <v>#REF!</v>
      </c>
      <c r="AL131" s="194" t="e">
        <f t="shared" si="25"/>
        <v>#REF!</v>
      </c>
    </row>
    <row r="132" spans="1:38" s="45" customFormat="1" ht="14.25" outlineLevel="2">
      <c r="A132" s="213"/>
      <c r="B132" s="210"/>
      <c r="C132" s="214" t="s">
        <v>322</v>
      </c>
      <c r="D132" s="48" t="s">
        <v>254</v>
      </c>
      <c r="E132" s="225" t="s">
        <v>28</v>
      </c>
      <c r="F132" s="226" t="s">
        <v>28</v>
      </c>
      <c r="G132" s="226" t="s">
        <v>28</v>
      </c>
      <c r="H132" s="227" t="s">
        <v>28</v>
      </c>
      <c r="I132" s="192" t="e">
        <f aca="true" t="shared" si="26" ref="I132:AL132">+IF(ROUND(H48+I37-I42+(I105-H105)+I110-I48,2)=0,"OK",ROUND(H48+I37-I42+(I105-H105)+I110-I48,2))</f>
        <v>#REF!</v>
      </c>
      <c r="J132" s="193" t="e">
        <f t="shared" si="26"/>
        <v>#REF!</v>
      </c>
      <c r="K132" s="193" t="e">
        <f t="shared" si="26"/>
        <v>#REF!</v>
      </c>
      <c r="L132" s="193" t="e">
        <f t="shared" si="26"/>
        <v>#REF!</v>
      </c>
      <c r="M132" s="193" t="e">
        <f t="shared" si="26"/>
        <v>#REF!</v>
      </c>
      <c r="N132" s="193" t="e">
        <f t="shared" si="26"/>
        <v>#REF!</v>
      </c>
      <c r="O132" s="193" t="e">
        <f t="shared" si="26"/>
        <v>#REF!</v>
      </c>
      <c r="P132" s="193" t="e">
        <f t="shared" si="26"/>
        <v>#REF!</v>
      </c>
      <c r="Q132" s="193" t="e">
        <f t="shared" si="26"/>
        <v>#REF!</v>
      </c>
      <c r="R132" s="193" t="e">
        <f t="shared" si="26"/>
        <v>#REF!</v>
      </c>
      <c r="S132" s="193" t="e">
        <f t="shared" si="26"/>
        <v>#REF!</v>
      </c>
      <c r="T132" s="193" t="e">
        <f t="shared" si="26"/>
        <v>#REF!</v>
      </c>
      <c r="U132" s="193" t="e">
        <f t="shared" si="26"/>
        <v>#REF!</v>
      </c>
      <c r="V132" s="193" t="e">
        <f t="shared" si="26"/>
        <v>#REF!</v>
      </c>
      <c r="W132" s="193" t="e">
        <f t="shared" si="26"/>
        <v>#REF!</v>
      </c>
      <c r="X132" s="193" t="e">
        <f t="shared" si="26"/>
        <v>#REF!</v>
      </c>
      <c r="Y132" s="193" t="e">
        <f t="shared" si="26"/>
        <v>#REF!</v>
      </c>
      <c r="Z132" s="193" t="e">
        <f t="shared" si="26"/>
        <v>#REF!</v>
      </c>
      <c r="AA132" s="193" t="e">
        <f t="shared" si="26"/>
        <v>#REF!</v>
      </c>
      <c r="AB132" s="193" t="e">
        <f t="shared" si="26"/>
        <v>#REF!</v>
      </c>
      <c r="AC132" s="193" t="e">
        <f t="shared" si="26"/>
        <v>#REF!</v>
      </c>
      <c r="AD132" s="193" t="e">
        <f t="shared" si="26"/>
        <v>#REF!</v>
      </c>
      <c r="AE132" s="193" t="e">
        <f t="shared" si="26"/>
        <v>#REF!</v>
      </c>
      <c r="AF132" s="193" t="e">
        <f t="shared" si="26"/>
        <v>#REF!</v>
      </c>
      <c r="AG132" s="193" t="e">
        <f t="shared" si="26"/>
        <v>#REF!</v>
      </c>
      <c r="AH132" s="193" t="e">
        <f t="shared" si="26"/>
        <v>#REF!</v>
      </c>
      <c r="AI132" s="193" t="e">
        <f t="shared" si="26"/>
        <v>#REF!</v>
      </c>
      <c r="AJ132" s="193" t="e">
        <f t="shared" si="26"/>
        <v>#REF!</v>
      </c>
      <c r="AK132" s="193" t="e">
        <f t="shared" si="26"/>
        <v>#REF!</v>
      </c>
      <c r="AL132" s="194" t="e">
        <f t="shared" si="26"/>
        <v>#REF!</v>
      </c>
    </row>
    <row r="133" spans="1:38" s="45" customFormat="1" ht="48" outlineLevel="2">
      <c r="A133" s="213"/>
      <c r="B133" s="210"/>
      <c r="C133" s="214" t="s">
        <v>323</v>
      </c>
      <c r="D133" s="48" t="s">
        <v>327</v>
      </c>
      <c r="E133" s="225" t="s">
        <v>28</v>
      </c>
      <c r="F133" s="226" t="s">
        <v>28</v>
      </c>
      <c r="G133" s="226" t="s">
        <v>28</v>
      </c>
      <c r="H133" s="227" t="s">
        <v>28</v>
      </c>
      <c r="I133" s="193" t="e">
        <f aca="true" t="shared" si="27" ref="I133:AL133">+IF(H105=0,"N/D",IF(ROUND(I105+I106-H105,2)=0,"OK",ROUND(I105+I106-H105,2)))</f>
        <v>#REF!</v>
      </c>
      <c r="J133" s="193" t="str">
        <f t="shared" si="27"/>
        <v>N/D</v>
      </c>
      <c r="K133" s="193" t="str">
        <f t="shared" si="27"/>
        <v>N/D</v>
      </c>
      <c r="L133" s="193" t="str">
        <f t="shared" si="27"/>
        <v>N/D</v>
      </c>
      <c r="M133" s="193" t="str">
        <f t="shared" si="27"/>
        <v>N/D</v>
      </c>
      <c r="N133" s="193" t="str">
        <f t="shared" si="27"/>
        <v>N/D</v>
      </c>
      <c r="O133" s="193" t="str">
        <f t="shared" si="27"/>
        <v>N/D</v>
      </c>
      <c r="P133" s="193" t="str">
        <f t="shared" si="27"/>
        <v>N/D</v>
      </c>
      <c r="Q133" s="193" t="str">
        <f t="shared" si="27"/>
        <v>N/D</v>
      </c>
      <c r="R133" s="193" t="str">
        <f t="shared" si="27"/>
        <v>N/D</v>
      </c>
      <c r="S133" s="193" t="str">
        <f t="shared" si="27"/>
        <v>N/D</v>
      </c>
      <c r="T133" s="193" t="e">
        <f t="shared" si="27"/>
        <v>#REF!</v>
      </c>
      <c r="U133" s="193" t="e">
        <f t="shared" si="27"/>
        <v>#REF!</v>
      </c>
      <c r="V133" s="193" t="e">
        <f t="shared" si="27"/>
        <v>#REF!</v>
      </c>
      <c r="W133" s="193" t="e">
        <f t="shared" si="27"/>
        <v>#REF!</v>
      </c>
      <c r="X133" s="193" t="e">
        <f t="shared" si="27"/>
        <v>#REF!</v>
      </c>
      <c r="Y133" s="193" t="e">
        <f t="shared" si="27"/>
        <v>#REF!</v>
      </c>
      <c r="Z133" s="193" t="e">
        <f t="shared" si="27"/>
        <v>#REF!</v>
      </c>
      <c r="AA133" s="193" t="e">
        <f t="shared" si="27"/>
        <v>#REF!</v>
      </c>
      <c r="AB133" s="193" t="e">
        <f t="shared" si="27"/>
        <v>#REF!</v>
      </c>
      <c r="AC133" s="193" t="e">
        <f t="shared" si="27"/>
        <v>#REF!</v>
      </c>
      <c r="AD133" s="193" t="e">
        <f t="shared" si="27"/>
        <v>#REF!</v>
      </c>
      <c r="AE133" s="193" t="e">
        <f t="shared" si="27"/>
        <v>#REF!</v>
      </c>
      <c r="AF133" s="193" t="e">
        <f t="shared" si="27"/>
        <v>#REF!</v>
      </c>
      <c r="AG133" s="193" t="e">
        <f t="shared" si="27"/>
        <v>#REF!</v>
      </c>
      <c r="AH133" s="193" t="e">
        <f t="shared" si="27"/>
        <v>#REF!</v>
      </c>
      <c r="AI133" s="193" t="e">
        <f t="shared" si="27"/>
        <v>#REF!</v>
      </c>
      <c r="AJ133" s="193" t="e">
        <f t="shared" si="27"/>
        <v>#REF!</v>
      </c>
      <c r="AK133" s="193" t="e">
        <f t="shared" si="27"/>
        <v>#REF!</v>
      </c>
      <c r="AL133" s="194" t="e">
        <f t="shared" si="27"/>
        <v>#REF!</v>
      </c>
    </row>
    <row r="134" spans="1:38" s="45" customFormat="1" ht="36" outlineLevel="2">
      <c r="A134" s="213"/>
      <c r="B134" s="210"/>
      <c r="C134" s="214" t="s">
        <v>325</v>
      </c>
      <c r="D134" s="48" t="s">
        <v>324</v>
      </c>
      <c r="E134" s="225" t="s">
        <v>28</v>
      </c>
      <c r="F134" s="226" t="s">
        <v>28</v>
      </c>
      <c r="G134" s="226" t="s">
        <v>28</v>
      </c>
      <c r="H134" s="227" t="s">
        <v>28</v>
      </c>
      <c r="I134" s="192" t="e">
        <f aca="true" t="shared" si="28" ref="I134:AL134">+IF(H96=0,"N/D",IF(ROUND(I96+(I98+I99+I100+I101)-H96,2)=0,"OK",ROUND(I96+(I98+I99+I100+I101)-H96,2)))</f>
        <v>#REF!</v>
      </c>
      <c r="J134" s="193" t="e">
        <f t="shared" si="28"/>
        <v>#REF!</v>
      </c>
      <c r="K134" s="193" t="e">
        <f t="shared" si="28"/>
        <v>#REF!</v>
      </c>
      <c r="L134" s="193" t="e">
        <f t="shared" si="28"/>
        <v>#REF!</v>
      </c>
      <c r="M134" s="193" t="e">
        <f t="shared" si="28"/>
        <v>#REF!</v>
      </c>
      <c r="N134" s="193" t="e">
        <f t="shared" si="28"/>
        <v>#REF!</v>
      </c>
      <c r="O134" s="193" t="e">
        <f t="shared" si="28"/>
        <v>#REF!</v>
      </c>
      <c r="P134" s="193" t="e">
        <f t="shared" si="28"/>
        <v>#REF!</v>
      </c>
      <c r="Q134" s="193" t="e">
        <f t="shared" si="28"/>
        <v>#REF!</v>
      </c>
      <c r="R134" s="193" t="e">
        <f t="shared" si="28"/>
        <v>#REF!</v>
      </c>
      <c r="S134" s="193" t="e">
        <f t="shared" si="28"/>
        <v>#REF!</v>
      </c>
      <c r="T134" s="193" t="e">
        <f t="shared" si="28"/>
        <v>#REF!</v>
      </c>
      <c r="U134" s="193" t="e">
        <f t="shared" si="28"/>
        <v>#REF!</v>
      </c>
      <c r="V134" s="193" t="e">
        <f t="shared" si="28"/>
        <v>#REF!</v>
      </c>
      <c r="W134" s="193" t="e">
        <f t="shared" si="28"/>
        <v>#REF!</v>
      </c>
      <c r="X134" s="193" t="e">
        <f t="shared" si="28"/>
        <v>#REF!</v>
      </c>
      <c r="Y134" s="193" t="e">
        <f t="shared" si="28"/>
        <v>#REF!</v>
      </c>
      <c r="Z134" s="193" t="e">
        <f t="shared" si="28"/>
        <v>#REF!</v>
      </c>
      <c r="AA134" s="193" t="e">
        <f t="shared" si="28"/>
        <v>#REF!</v>
      </c>
      <c r="AB134" s="193" t="e">
        <f t="shared" si="28"/>
        <v>#REF!</v>
      </c>
      <c r="AC134" s="193" t="e">
        <f t="shared" si="28"/>
        <v>#REF!</v>
      </c>
      <c r="AD134" s="193" t="e">
        <f t="shared" si="28"/>
        <v>#REF!</v>
      </c>
      <c r="AE134" s="193" t="e">
        <f t="shared" si="28"/>
        <v>#REF!</v>
      </c>
      <c r="AF134" s="193" t="e">
        <f t="shared" si="28"/>
        <v>#REF!</v>
      </c>
      <c r="AG134" s="193" t="e">
        <f t="shared" si="28"/>
        <v>#REF!</v>
      </c>
      <c r="AH134" s="193" t="e">
        <f t="shared" si="28"/>
        <v>#REF!</v>
      </c>
      <c r="AI134" s="193" t="e">
        <f t="shared" si="28"/>
        <v>#REF!</v>
      </c>
      <c r="AJ134" s="193" t="e">
        <f t="shared" si="28"/>
        <v>#REF!</v>
      </c>
      <c r="AK134" s="193" t="e">
        <f t="shared" si="28"/>
        <v>#REF!</v>
      </c>
      <c r="AL134" s="194" t="e">
        <f t="shared" si="28"/>
        <v>#REF!</v>
      </c>
    </row>
    <row r="135" spans="1:38" s="45" customFormat="1" ht="14.25" outlineLevel="1">
      <c r="A135" s="213"/>
      <c r="B135" s="206"/>
      <c r="C135" s="242" t="s">
        <v>208</v>
      </c>
      <c r="D135" s="49" t="s">
        <v>255</v>
      </c>
      <c r="E135" s="225" t="s">
        <v>28</v>
      </c>
      <c r="F135" s="226" t="s">
        <v>28</v>
      </c>
      <c r="G135" s="226" t="s">
        <v>28</v>
      </c>
      <c r="H135" s="227" t="s">
        <v>28</v>
      </c>
      <c r="I135" s="189" t="str">
        <f aca="true" t="shared" si="29" ref="I135:AL135">IF(I31&lt;0,IF(ROUND(I34+I36+I38+I40+I31,2)=0,"OK",ROUND(I34+I36+I38+I40+I31,2)),"N/D")</f>
        <v>OK</v>
      </c>
      <c r="J135" s="190" t="str">
        <f t="shared" si="29"/>
        <v>OK</v>
      </c>
      <c r="K135" s="190" t="str">
        <f t="shared" si="29"/>
        <v>N/D</v>
      </c>
      <c r="L135" s="190" t="str">
        <f t="shared" si="29"/>
        <v>N/D</v>
      </c>
      <c r="M135" s="190" t="str">
        <f t="shared" si="29"/>
        <v>N/D</v>
      </c>
      <c r="N135" s="190" t="str">
        <f t="shared" si="29"/>
        <v>N/D</v>
      </c>
      <c r="O135" s="190" t="str">
        <f t="shared" si="29"/>
        <v>N/D</v>
      </c>
      <c r="P135" s="190" t="str">
        <f t="shared" si="29"/>
        <v>N/D</v>
      </c>
      <c r="Q135" s="190" t="str">
        <f t="shared" si="29"/>
        <v>N/D</v>
      </c>
      <c r="R135" s="190" t="str">
        <f t="shared" si="29"/>
        <v>N/D</v>
      </c>
      <c r="S135" s="190" t="e">
        <f t="shared" si="29"/>
        <v>#REF!</v>
      </c>
      <c r="T135" s="190" t="e">
        <f t="shared" si="29"/>
        <v>#REF!</v>
      </c>
      <c r="U135" s="190" t="e">
        <f t="shared" si="29"/>
        <v>#REF!</v>
      </c>
      <c r="V135" s="190" t="e">
        <f t="shared" si="29"/>
        <v>#REF!</v>
      </c>
      <c r="W135" s="190" t="e">
        <f t="shared" si="29"/>
        <v>#REF!</v>
      </c>
      <c r="X135" s="190" t="e">
        <f t="shared" si="29"/>
        <v>#REF!</v>
      </c>
      <c r="Y135" s="190" t="e">
        <f t="shared" si="29"/>
        <v>#REF!</v>
      </c>
      <c r="Z135" s="190" t="e">
        <f t="shared" si="29"/>
        <v>#REF!</v>
      </c>
      <c r="AA135" s="190" t="e">
        <f t="shared" si="29"/>
        <v>#REF!</v>
      </c>
      <c r="AB135" s="190" t="e">
        <f t="shared" si="29"/>
        <v>#REF!</v>
      </c>
      <c r="AC135" s="190" t="e">
        <f t="shared" si="29"/>
        <v>#REF!</v>
      </c>
      <c r="AD135" s="190" t="e">
        <f t="shared" si="29"/>
        <v>#REF!</v>
      </c>
      <c r="AE135" s="190" t="e">
        <f t="shared" si="29"/>
        <v>#REF!</v>
      </c>
      <c r="AF135" s="190" t="e">
        <f t="shared" si="29"/>
        <v>#REF!</v>
      </c>
      <c r="AG135" s="190" t="e">
        <f t="shared" si="29"/>
        <v>#REF!</v>
      </c>
      <c r="AH135" s="190" t="e">
        <f t="shared" si="29"/>
        <v>#REF!</v>
      </c>
      <c r="AI135" s="190" t="e">
        <f t="shared" si="29"/>
        <v>#REF!</v>
      </c>
      <c r="AJ135" s="190" t="e">
        <f t="shared" si="29"/>
        <v>#REF!</v>
      </c>
      <c r="AK135" s="190" t="e">
        <f t="shared" si="29"/>
        <v>#REF!</v>
      </c>
      <c r="AL135" s="191" t="e">
        <f t="shared" si="29"/>
        <v>#REF!</v>
      </c>
    </row>
    <row r="136" spans="1:38" s="45" customFormat="1" ht="14.25" outlineLevel="2">
      <c r="A136" s="213"/>
      <c r="B136" s="206"/>
      <c r="C136" s="242" t="s">
        <v>209</v>
      </c>
      <c r="D136" s="49" t="s">
        <v>256</v>
      </c>
      <c r="E136" s="225" t="s">
        <v>28</v>
      </c>
      <c r="F136" s="226" t="s">
        <v>28</v>
      </c>
      <c r="G136" s="226" t="s">
        <v>28</v>
      </c>
      <c r="H136" s="227" t="s">
        <v>28</v>
      </c>
      <c r="I136" s="189" t="str">
        <f aca="true" t="shared" si="30" ref="I136:AL136">IF(I31&gt;=0,IF(ROUND(I34+I36+I38+I40,2)=0,"OK",ROUND(I34+I36+I38+I40,2)),"N/D")</f>
        <v>N/D</v>
      </c>
      <c r="J136" s="190" t="str">
        <f t="shared" si="30"/>
        <v>N/D</v>
      </c>
      <c r="K136" s="190" t="str">
        <f t="shared" si="30"/>
        <v>OK</v>
      </c>
      <c r="L136" s="190" t="str">
        <f t="shared" si="30"/>
        <v>OK</v>
      </c>
      <c r="M136" s="190" t="str">
        <f t="shared" si="30"/>
        <v>OK</v>
      </c>
      <c r="N136" s="190" t="str">
        <f t="shared" si="30"/>
        <v>OK</v>
      </c>
      <c r="O136" s="190" t="str">
        <f t="shared" si="30"/>
        <v>OK</v>
      </c>
      <c r="P136" s="190" t="str">
        <f t="shared" si="30"/>
        <v>OK</v>
      </c>
      <c r="Q136" s="190" t="str">
        <f t="shared" si="30"/>
        <v>OK</v>
      </c>
      <c r="R136" s="190" t="str">
        <f t="shared" si="30"/>
        <v>OK</v>
      </c>
      <c r="S136" s="190" t="e">
        <f t="shared" si="30"/>
        <v>#REF!</v>
      </c>
      <c r="T136" s="190" t="e">
        <f t="shared" si="30"/>
        <v>#REF!</v>
      </c>
      <c r="U136" s="190" t="e">
        <f t="shared" si="30"/>
        <v>#REF!</v>
      </c>
      <c r="V136" s="190" t="e">
        <f t="shared" si="30"/>
        <v>#REF!</v>
      </c>
      <c r="W136" s="190" t="e">
        <f t="shared" si="30"/>
        <v>#REF!</v>
      </c>
      <c r="X136" s="190" t="e">
        <f t="shared" si="30"/>
        <v>#REF!</v>
      </c>
      <c r="Y136" s="190" t="e">
        <f t="shared" si="30"/>
        <v>#REF!</v>
      </c>
      <c r="Z136" s="190" t="e">
        <f t="shared" si="30"/>
        <v>#REF!</v>
      </c>
      <c r="AA136" s="190" t="e">
        <f t="shared" si="30"/>
        <v>#REF!</v>
      </c>
      <c r="AB136" s="190" t="e">
        <f t="shared" si="30"/>
        <v>#REF!</v>
      </c>
      <c r="AC136" s="190" t="e">
        <f t="shared" si="30"/>
        <v>#REF!</v>
      </c>
      <c r="AD136" s="190" t="e">
        <f t="shared" si="30"/>
        <v>#REF!</v>
      </c>
      <c r="AE136" s="190" t="e">
        <f t="shared" si="30"/>
        <v>#REF!</v>
      </c>
      <c r="AF136" s="190" t="e">
        <f t="shared" si="30"/>
        <v>#REF!</v>
      </c>
      <c r="AG136" s="190" t="e">
        <f t="shared" si="30"/>
        <v>#REF!</v>
      </c>
      <c r="AH136" s="190" t="e">
        <f t="shared" si="30"/>
        <v>#REF!</v>
      </c>
      <c r="AI136" s="190" t="e">
        <f t="shared" si="30"/>
        <v>#REF!</v>
      </c>
      <c r="AJ136" s="190" t="e">
        <f t="shared" si="30"/>
        <v>#REF!</v>
      </c>
      <c r="AK136" s="190" t="e">
        <f t="shared" si="30"/>
        <v>#REF!</v>
      </c>
      <c r="AL136" s="191" t="e">
        <f t="shared" si="30"/>
        <v>#REF!</v>
      </c>
    </row>
    <row r="137" spans="1:38" s="45" customFormat="1" ht="14.25" outlineLevel="2">
      <c r="A137" s="213"/>
      <c r="B137" s="206"/>
      <c r="C137" s="242" t="s">
        <v>210</v>
      </c>
      <c r="D137" s="49" t="s">
        <v>258</v>
      </c>
      <c r="E137" s="225" t="s">
        <v>28</v>
      </c>
      <c r="F137" s="226" t="s">
        <v>28</v>
      </c>
      <c r="G137" s="226" t="s">
        <v>28</v>
      </c>
      <c r="H137" s="227" t="s">
        <v>28</v>
      </c>
      <c r="I137" s="187" t="str">
        <f aca="true" t="shared" si="31" ref="I137:AL137">IF(I14&gt;=I15,"OK","BŁĄD")</f>
        <v>OK</v>
      </c>
      <c r="J137" s="180" t="str">
        <f t="shared" si="31"/>
        <v>OK</v>
      </c>
      <c r="K137" s="180" t="str">
        <f t="shared" si="31"/>
        <v>OK</v>
      </c>
      <c r="L137" s="180" t="str">
        <f t="shared" si="31"/>
        <v>OK</v>
      </c>
      <c r="M137" s="180" t="str">
        <f t="shared" si="31"/>
        <v>OK</v>
      </c>
      <c r="N137" s="180" t="str">
        <f t="shared" si="31"/>
        <v>OK</v>
      </c>
      <c r="O137" s="180" t="str">
        <f t="shared" si="31"/>
        <v>OK</v>
      </c>
      <c r="P137" s="180" t="str">
        <f t="shared" si="31"/>
        <v>OK</v>
      </c>
      <c r="Q137" s="180" t="str">
        <f t="shared" si="31"/>
        <v>OK</v>
      </c>
      <c r="R137" s="180" t="str">
        <f t="shared" si="31"/>
        <v>OK</v>
      </c>
      <c r="S137" s="180" t="e">
        <f t="shared" si="31"/>
        <v>#REF!</v>
      </c>
      <c r="T137" s="180" t="e">
        <f t="shared" si="31"/>
        <v>#REF!</v>
      </c>
      <c r="U137" s="180" t="e">
        <f t="shared" si="31"/>
        <v>#REF!</v>
      </c>
      <c r="V137" s="180" t="e">
        <f t="shared" si="31"/>
        <v>#REF!</v>
      </c>
      <c r="W137" s="180" t="e">
        <f t="shared" si="31"/>
        <v>#REF!</v>
      </c>
      <c r="X137" s="180" t="e">
        <f t="shared" si="31"/>
        <v>#REF!</v>
      </c>
      <c r="Y137" s="180" t="e">
        <f t="shared" si="31"/>
        <v>#REF!</v>
      </c>
      <c r="Z137" s="180" t="e">
        <f t="shared" si="31"/>
        <v>#REF!</v>
      </c>
      <c r="AA137" s="180" t="e">
        <f t="shared" si="31"/>
        <v>#REF!</v>
      </c>
      <c r="AB137" s="180" t="e">
        <f t="shared" si="31"/>
        <v>#REF!</v>
      </c>
      <c r="AC137" s="180" t="e">
        <f t="shared" si="31"/>
        <v>#REF!</v>
      </c>
      <c r="AD137" s="180" t="e">
        <f t="shared" si="31"/>
        <v>#REF!</v>
      </c>
      <c r="AE137" s="180" t="e">
        <f t="shared" si="31"/>
        <v>#REF!</v>
      </c>
      <c r="AF137" s="180" t="e">
        <f t="shared" si="31"/>
        <v>#REF!</v>
      </c>
      <c r="AG137" s="180" t="e">
        <f t="shared" si="31"/>
        <v>#REF!</v>
      </c>
      <c r="AH137" s="180" t="e">
        <f t="shared" si="31"/>
        <v>#REF!</v>
      </c>
      <c r="AI137" s="180" t="e">
        <f t="shared" si="31"/>
        <v>#REF!</v>
      </c>
      <c r="AJ137" s="180" t="e">
        <f t="shared" si="31"/>
        <v>#REF!</v>
      </c>
      <c r="AK137" s="180" t="e">
        <f t="shared" si="31"/>
        <v>#REF!</v>
      </c>
      <c r="AL137" s="181" t="e">
        <f t="shared" si="31"/>
        <v>#REF!</v>
      </c>
    </row>
    <row r="138" spans="1:38" s="45" customFormat="1" ht="14.25" outlineLevel="2">
      <c r="A138" s="213"/>
      <c r="B138" s="206"/>
      <c r="C138" s="242" t="s">
        <v>211</v>
      </c>
      <c r="D138" s="49" t="s">
        <v>259</v>
      </c>
      <c r="E138" s="225" t="s">
        <v>28</v>
      </c>
      <c r="F138" s="226" t="s">
        <v>28</v>
      </c>
      <c r="G138" s="226" t="s">
        <v>28</v>
      </c>
      <c r="H138" s="227" t="s">
        <v>28</v>
      </c>
      <c r="I138" s="187" t="str">
        <f aca="true" t="shared" si="32" ref="I138:AL138">IF(I17&gt;=I97,"OK","BŁĄD")</f>
        <v>OK</v>
      </c>
      <c r="J138" s="180" t="str">
        <f t="shared" si="32"/>
        <v>OK</v>
      </c>
      <c r="K138" s="180" t="str">
        <f t="shared" si="32"/>
        <v>OK</v>
      </c>
      <c r="L138" s="180" t="str">
        <f t="shared" si="32"/>
        <v>OK</v>
      </c>
      <c r="M138" s="180" t="str">
        <f t="shared" si="32"/>
        <v>OK</v>
      </c>
      <c r="N138" s="180" t="str">
        <f t="shared" si="32"/>
        <v>OK</v>
      </c>
      <c r="O138" s="180" t="str">
        <f t="shared" si="32"/>
        <v>OK</v>
      </c>
      <c r="P138" s="180" t="str">
        <f t="shared" si="32"/>
        <v>OK</v>
      </c>
      <c r="Q138" s="180" t="str">
        <f t="shared" si="32"/>
        <v>OK</v>
      </c>
      <c r="R138" s="180" t="str">
        <f t="shared" si="32"/>
        <v>OK</v>
      </c>
      <c r="S138" s="180" t="e">
        <f t="shared" si="32"/>
        <v>#REF!</v>
      </c>
      <c r="T138" s="180" t="e">
        <f t="shared" si="32"/>
        <v>#REF!</v>
      </c>
      <c r="U138" s="180" t="e">
        <f t="shared" si="32"/>
        <v>#REF!</v>
      </c>
      <c r="V138" s="180" t="e">
        <f t="shared" si="32"/>
        <v>#REF!</v>
      </c>
      <c r="W138" s="180" t="e">
        <f t="shared" si="32"/>
        <v>#REF!</v>
      </c>
      <c r="X138" s="180" t="e">
        <f t="shared" si="32"/>
        <v>#REF!</v>
      </c>
      <c r="Y138" s="180" t="e">
        <f t="shared" si="32"/>
        <v>#REF!</v>
      </c>
      <c r="Z138" s="180" t="e">
        <f t="shared" si="32"/>
        <v>#REF!</v>
      </c>
      <c r="AA138" s="180" t="e">
        <f t="shared" si="32"/>
        <v>#REF!</v>
      </c>
      <c r="AB138" s="180" t="e">
        <f t="shared" si="32"/>
        <v>#REF!</v>
      </c>
      <c r="AC138" s="180" t="e">
        <f t="shared" si="32"/>
        <v>#REF!</v>
      </c>
      <c r="AD138" s="180" t="e">
        <f t="shared" si="32"/>
        <v>#REF!</v>
      </c>
      <c r="AE138" s="180" t="e">
        <f t="shared" si="32"/>
        <v>#REF!</v>
      </c>
      <c r="AF138" s="180" t="e">
        <f t="shared" si="32"/>
        <v>#REF!</v>
      </c>
      <c r="AG138" s="180" t="e">
        <f t="shared" si="32"/>
        <v>#REF!</v>
      </c>
      <c r="AH138" s="180" t="e">
        <f t="shared" si="32"/>
        <v>#REF!</v>
      </c>
      <c r="AI138" s="180" t="e">
        <f t="shared" si="32"/>
        <v>#REF!</v>
      </c>
      <c r="AJ138" s="180" t="e">
        <f t="shared" si="32"/>
        <v>#REF!</v>
      </c>
      <c r="AK138" s="180" t="e">
        <f t="shared" si="32"/>
        <v>#REF!</v>
      </c>
      <c r="AL138" s="181" t="e">
        <f t="shared" si="32"/>
        <v>#REF!</v>
      </c>
    </row>
    <row r="139" spans="1:38" s="45" customFormat="1" ht="14.25" outlineLevel="2">
      <c r="A139" s="213"/>
      <c r="B139" s="206"/>
      <c r="C139" s="242" t="s">
        <v>212</v>
      </c>
      <c r="D139" s="49" t="s">
        <v>260</v>
      </c>
      <c r="E139" s="225" t="s">
        <v>28</v>
      </c>
      <c r="F139" s="226" t="s">
        <v>28</v>
      </c>
      <c r="G139" s="226" t="s">
        <v>28</v>
      </c>
      <c r="H139" s="227" t="s">
        <v>28</v>
      </c>
      <c r="I139" s="187" t="str">
        <f aca="true" t="shared" si="33" ref="I139:AL139">IF(I11&gt;=I12+I13+I14+I16+I17,"OK","BŁĄD")</f>
        <v>OK</v>
      </c>
      <c r="J139" s="180" t="str">
        <f t="shared" si="33"/>
        <v>OK</v>
      </c>
      <c r="K139" s="180" t="str">
        <f t="shared" si="33"/>
        <v>OK</v>
      </c>
      <c r="L139" s="180" t="str">
        <f t="shared" si="33"/>
        <v>OK</v>
      </c>
      <c r="M139" s="180" t="str">
        <f t="shared" si="33"/>
        <v>OK</v>
      </c>
      <c r="N139" s="180" t="str">
        <f t="shared" si="33"/>
        <v>OK</v>
      </c>
      <c r="O139" s="180" t="str">
        <f t="shared" si="33"/>
        <v>OK</v>
      </c>
      <c r="P139" s="180" t="str">
        <f t="shared" si="33"/>
        <v>OK</v>
      </c>
      <c r="Q139" s="180" t="str">
        <f t="shared" si="33"/>
        <v>OK</v>
      </c>
      <c r="R139" s="180" t="str">
        <f t="shared" si="33"/>
        <v>OK</v>
      </c>
      <c r="S139" s="180" t="e">
        <f t="shared" si="33"/>
        <v>#REF!</v>
      </c>
      <c r="T139" s="180" t="e">
        <f t="shared" si="33"/>
        <v>#REF!</v>
      </c>
      <c r="U139" s="180" t="e">
        <f t="shared" si="33"/>
        <v>#REF!</v>
      </c>
      <c r="V139" s="180" t="e">
        <f t="shared" si="33"/>
        <v>#REF!</v>
      </c>
      <c r="W139" s="180" t="e">
        <f t="shared" si="33"/>
        <v>#REF!</v>
      </c>
      <c r="X139" s="180" t="e">
        <f t="shared" si="33"/>
        <v>#REF!</v>
      </c>
      <c r="Y139" s="180" t="e">
        <f t="shared" si="33"/>
        <v>#REF!</v>
      </c>
      <c r="Z139" s="180" t="e">
        <f t="shared" si="33"/>
        <v>#REF!</v>
      </c>
      <c r="AA139" s="180" t="e">
        <f t="shared" si="33"/>
        <v>#REF!</v>
      </c>
      <c r="AB139" s="180" t="e">
        <f t="shared" si="33"/>
        <v>#REF!</v>
      </c>
      <c r="AC139" s="180" t="e">
        <f t="shared" si="33"/>
        <v>#REF!</v>
      </c>
      <c r="AD139" s="180" t="e">
        <f t="shared" si="33"/>
        <v>#REF!</v>
      </c>
      <c r="AE139" s="180" t="e">
        <f t="shared" si="33"/>
        <v>#REF!</v>
      </c>
      <c r="AF139" s="180" t="e">
        <f t="shared" si="33"/>
        <v>#REF!</v>
      </c>
      <c r="AG139" s="180" t="e">
        <f t="shared" si="33"/>
        <v>#REF!</v>
      </c>
      <c r="AH139" s="180" t="e">
        <f t="shared" si="33"/>
        <v>#REF!</v>
      </c>
      <c r="AI139" s="180" t="e">
        <f t="shared" si="33"/>
        <v>#REF!</v>
      </c>
      <c r="AJ139" s="180" t="e">
        <f t="shared" si="33"/>
        <v>#REF!</v>
      </c>
      <c r="AK139" s="180" t="e">
        <f t="shared" si="33"/>
        <v>#REF!</v>
      </c>
      <c r="AL139" s="181" t="e">
        <f t="shared" si="33"/>
        <v>#REF!</v>
      </c>
    </row>
    <row r="140" spans="1:38" s="45" customFormat="1" ht="14.25" outlineLevel="2">
      <c r="A140" s="213"/>
      <c r="B140" s="206"/>
      <c r="C140" s="242" t="s">
        <v>213</v>
      </c>
      <c r="D140" s="49" t="s">
        <v>261</v>
      </c>
      <c r="E140" s="225" t="s">
        <v>28</v>
      </c>
      <c r="F140" s="226" t="s">
        <v>28</v>
      </c>
      <c r="G140" s="226" t="s">
        <v>28</v>
      </c>
      <c r="H140" s="227" t="s">
        <v>28</v>
      </c>
      <c r="I140" s="187" t="str">
        <f aca="true" t="shared" si="34" ref="I140:AL140">IF(I11&gt;=I75,"OK","BŁĄD")</f>
        <v>OK</v>
      </c>
      <c r="J140" s="180" t="str">
        <f t="shared" si="34"/>
        <v>OK</v>
      </c>
      <c r="K140" s="180" t="str">
        <f t="shared" si="34"/>
        <v>OK</v>
      </c>
      <c r="L140" s="180" t="str">
        <f t="shared" si="34"/>
        <v>OK</v>
      </c>
      <c r="M140" s="180" t="str">
        <f t="shared" si="34"/>
        <v>OK</v>
      </c>
      <c r="N140" s="180" t="str">
        <f t="shared" si="34"/>
        <v>OK</v>
      </c>
      <c r="O140" s="180" t="str">
        <f t="shared" si="34"/>
        <v>OK</v>
      </c>
      <c r="P140" s="180" t="str">
        <f t="shared" si="34"/>
        <v>OK</v>
      </c>
      <c r="Q140" s="180" t="str">
        <f t="shared" si="34"/>
        <v>OK</v>
      </c>
      <c r="R140" s="180" t="str">
        <f t="shared" si="34"/>
        <v>OK</v>
      </c>
      <c r="S140" s="180" t="e">
        <f t="shared" si="34"/>
        <v>#REF!</v>
      </c>
      <c r="T140" s="180" t="e">
        <f t="shared" si="34"/>
        <v>#REF!</v>
      </c>
      <c r="U140" s="180" t="e">
        <f t="shared" si="34"/>
        <v>#REF!</v>
      </c>
      <c r="V140" s="180" t="e">
        <f t="shared" si="34"/>
        <v>#REF!</v>
      </c>
      <c r="W140" s="180" t="e">
        <f t="shared" si="34"/>
        <v>#REF!</v>
      </c>
      <c r="X140" s="180" t="e">
        <f t="shared" si="34"/>
        <v>#REF!</v>
      </c>
      <c r="Y140" s="180" t="e">
        <f t="shared" si="34"/>
        <v>#REF!</v>
      </c>
      <c r="Z140" s="180" t="e">
        <f t="shared" si="34"/>
        <v>#REF!</v>
      </c>
      <c r="AA140" s="180" t="e">
        <f t="shared" si="34"/>
        <v>#REF!</v>
      </c>
      <c r="AB140" s="180" t="e">
        <f t="shared" si="34"/>
        <v>#REF!</v>
      </c>
      <c r="AC140" s="180" t="e">
        <f t="shared" si="34"/>
        <v>#REF!</v>
      </c>
      <c r="AD140" s="180" t="e">
        <f t="shared" si="34"/>
        <v>#REF!</v>
      </c>
      <c r="AE140" s="180" t="e">
        <f t="shared" si="34"/>
        <v>#REF!</v>
      </c>
      <c r="AF140" s="180" t="e">
        <f t="shared" si="34"/>
        <v>#REF!</v>
      </c>
      <c r="AG140" s="180" t="e">
        <f t="shared" si="34"/>
        <v>#REF!</v>
      </c>
      <c r="AH140" s="180" t="e">
        <f t="shared" si="34"/>
        <v>#REF!</v>
      </c>
      <c r="AI140" s="180" t="e">
        <f t="shared" si="34"/>
        <v>#REF!</v>
      </c>
      <c r="AJ140" s="180" t="e">
        <f t="shared" si="34"/>
        <v>#REF!</v>
      </c>
      <c r="AK140" s="180" t="e">
        <f t="shared" si="34"/>
        <v>#REF!</v>
      </c>
      <c r="AL140" s="181" t="e">
        <f t="shared" si="34"/>
        <v>#REF!</v>
      </c>
    </row>
    <row r="141" spans="1:38" s="45" customFormat="1" ht="14.25" outlineLevel="2">
      <c r="A141" s="213"/>
      <c r="B141" s="206"/>
      <c r="C141" s="242" t="s">
        <v>214</v>
      </c>
      <c r="D141" s="49" t="s">
        <v>262</v>
      </c>
      <c r="E141" s="225" t="s">
        <v>28</v>
      </c>
      <c r="F141" s="226" t="s">
        <v>28</v>
      </c>
      <c r="G141" s="226" t="s">
        <v>28</v>
      </c>
      <c r="H141" s="227" t="s">
        <v>28</v>
      </c>
      <c r="I141" s="187" t="str">
        <f aca="true" t="shared" si="35" ref="I141:AL141">IF(I18&gt;=I19,"OK","BŁĄD")</f>
        <v>OK</v>
      </c>
      <c r="J141" s="180" t="str">
        <f t="shared" si="35"/>
        <v>OK</v>
      </c>
      <c r="K141" s="180" t="str">
        <f t="shared" si="35"/>
        <v>OK</v>
      </c>
      <c r="L141" s="180" t="str">
        <f t="shared" si="35"/>
        <v>OK</v>
      </c>
      <c r="M141" s="180" t="str">
        <f t="shared" si="35"/>
        <v>OK</v>
      </c>
      <c r="N141" s="180" t="str">
        <f t="shared" si="35"/>
        <v>OK</v>
      </c>
      <c r="O141" s="180" t="str">
        <f t="shared" si="35"/>
        <v>OK</v>
      </c>
      <c r="P141" s="180" t="str">
        <f t="shared" si="35"/>
        <v>OK</v>
      </c>
      <c r="Q141" s="180" t="str">
        <f t="shared" si="35"/>
        <v>OK</v>
      </c>
      <c r="R141" s="180" t="str">
        <f t="shared" si="35"/>
        <v>OK</v>
      </c>
      <c r="S141" s="180" t="e">
        <f t="shared" si="35"/>
        <v>#REF!</v>
      </c>
      <c r="T141" s="180" t="e">
        <f t="shared" si="35"/>
        <v>#REF!</v>
      </c>
      <c r="U141" s="180" t="e">
        <f t="shared" si="35"/>
        <v>#REF!</v>
      </c>
      <c r="V141" s="180" t="e">
        <f t="shared" si="35"/>
        <v>#REF!</v>
      </c>
      <c r="W141" s="180" t="e">
        <f t="shared" si="35"/>
        <v>#REF!</v>
      </c>
      <c r="X141" s="180" t="e">
        <f t="shared" si="35"/>
        <v>#REF!</v>
      </c>
      <c r="Y141" s="180" t="e">
        <f t="shared" si="35"/>
        <v>#REF!</v>
      </c>
      <c r="Z141" s="180" t="e">
        <f t="shared" si="35"/>
        <v>#REF!</v>
      </c>
      <c r="AA141" s="180" t="e">
        <f t="shared" si="35"/>
        <v>#REF!</v>
      </c>
      <c r="AB141" s="180" t="e">
        <f t="shared" si="35"/>
        <v>#REF!</v>
      </c>
      <c r="AC141" s="180" t="e">
        <f t="shared" si="35"/>
        <v>#REF!</v>
      </c>
      <c r="AD141" s="180" t="e">
        <f t="shared" si="35"/>
        <v>#REF!</v>
      </c>
      <c r="AE141" s="180" t="e">
        <f t="shared" si="35"/>
        <v>#REF!</v>
      </c>
      <c r="AF141" s="180" t="e">
        <f t="shared" si="35"/>
        <v>#REF!</v>
      </c>
      <c r="AG141" s="180" t="e">
        <f t="shared" si="35"/>
        <v>#REF!</v>
      </c>
      <c r="AH141" s="180" t="e">
        <f t="shared" si="35"/>
        <v>#REF!</v>
      </c>
      <c r="AI141" s="180" t="e">
        <f t="shared" si="35"/>
        <v>#REF!</v>
      </c>
      <c r="AJ141" s="180" t="e">
        <f t="shared" si="35"/>
        <v>#REF!</v>
      </c>
      <c r="AK141" s="180" t="e">
        <f t="shared" si="35"/>
        <v>#REF!</v>
      </c>
      <c r="AL141" s="181" t="e">
        <f t="shared" si="35"/>
        <v>#REF!</v>
      </c>
    </row>
    <row r="142" spans="1:38" s="45" customFormat="1" ht="14.25" outlineLevel="2">
      <c r="A142" s="213"/>
      <c r="B142" s="206"/>
      <c r="C142" s="242" t="s">
        <v>215</v>
      </c>
      <c r="D142" s="49" t="s">
        <v>263</v>
      </c>
      <c r="E142" s="225" t="s">
        <v>28</v>
      </c>
      <c r="F142" s="226" t="s">
        <v>28</v>
      </c>
      <c r="G142" s="226" t="s">
        <v>28</v>
      </c>
      <c r="H142" s="227" t="s">
        <v>28</v>
      </c>
      <c r="I142" s="187" t="str">
        <f aca="true" t="shared" si="36" ref="I142:AL142">IF(I18&gt;=I20,"OK","BŁĄD")</f>
        <v>OK</v>
      </c>
      <c r="J142" s="180" t="str">
        <f t="shared" si="36"/>
        <v>OK</v>
      </c>
      <c r="K142" s="180" t="str">
        <f t="shared" si="36"/>
        <v>OK</v>
      </c>
      <c r="L142" s="180" t="str">
        <f t="shared" si="36"/>
        <v>OK</v>
      </c>
      <c r="M142" s="180" t="str">
        <f t="shared" si="36"/>
        <v>OK</v>
      </c>
      <c r="N142" s="180" t="str">
        <f t="shared" si="36"/>
        <v>OK</v>
      </c>
      <c r="O142" s="180" t="str">
        <f t="shared" si="36"/>
        <v>OK</v>
      </c>
      <c r="P142" s="180" t="str">
        <f t="shared" si="36"/>
        <v>OK</v>
      </c>
      <c r="Q142" s="180" t="str">
        <f t="shared" si="36"/>
        <v>OK</v>
      </c>
      <c r="R142" s="180" t="str">
        <f t="shared" si="36"/>
        <v>OK</v>
      </c>
      <c r="S142" s="180" t="e">
        <f t="shared" si="36"/>
        <v>#REF!</v>
      </c>
      <c r="T142" s="180" t="e">
        <f t="shared" si="36"/>
        <v>#REF!</v>
      </c>
      <c r="U142" s="180" t="e">
        <f t="shared" si="36"/>
        <v>#REF!</v>
      </c>
      <c r="V142" s="180" t="e">
        <f t="shared" si="36"/>
        <v>#REF!</v>
      </c>
      <c r="W142" s="180" t="e">
        <f t="shared" si="36"/>
        <v>#REF!</v>
      </c>
      <c r="X142" s="180" t="e">
        <f t="shared" si="36"/>
        <v>#REF!</v>
      </c>
      <c r="Y142" s="180" t="e">
        <f t="shared" si="36"/>
        <v>#REF!</v>
      </c>
      <c r="Z142" s="180" t="e">
        <f t="shared" si="36"/>
        <v>#REF!</v>
      </c>
      <c r="AA142" s="180" t="e">
        <f t="shared" si="36"/>
        <v>#REF!</v>
      </c>
      <c r="AB142" s="180" t="e">
        <f t="shared" si="36"/>
        <v>#REF!</v>
      </c>
      <c r="AC142" s="180" t="e">
        <f t="shared" si="36"/>
        <v>#REF!</v>
      </c>
      <c r="AD142" s="180" t="e">
        <f t="shared" si="36"/>
        <v>#REF!</v>
      </c>
      <c r="AE142" s="180" t="e">
        <f t="shared" si="36"/>
        <v>#REF!</v>
      </c>
      <c r="AF142" s="180" t="e">
        <f t="shared" si="36"/>
        <v>#REF!</v>
      </c>
      <c r="AG142" s="180" t="e">
        <f t="shared" si="36"/>
        <v>#REF!</v>
      </c>
      <c r="AH142" s="180" t="e">
        <f t="shared" si="36"/>
        <v>#REF!</v>
      </c>
      <c r="AI142" s="180" t="e">
        <f t="shared" si="36"/>
        <v>#REF!</v>
      </c>
      <c r="AJ142" s="180" t="e">
        <f t="shared" si="36"/>
        <v>#REF!</v>
      </c>
      <c r="AK142" s="180" t="e">
        <f t="shared" si="36"/>
        <v>#REF!</v>
      </c>
      <c r="AL142" s="181" t="e">
        <f t="shared" si="36"/>
        <v>#REF!</v>
      </c>
    </row>
    <row r="143" spans="1:38" s="45" customFormat="1" ht="14.25" outlineLevel="2">
      <c r="A143" s="213"/>
      <c r="B143" s="206"/>
      <c r="C143" s="242" t="s">
        <v>216</v>
      </c>
      <c r="D143" s="49" t="s">
        <v>264</v>
      </c>
      <c r="E143" s="225" t="s">
        <v>28</v>
      </c>
      <c r="F143" s="226" t="s">
        <v>28</v>
      </c>
      <c r="G143" s="226" t="s">
        <v>28</v>
      </c>
      <c r="H143" s="227" t="s">
        <v>28</v>
      </c>
      <c r="I143" s="187" t="str">
        <f aca="true" t="shared" si="37" ref="I143:AL143">IF(I18&gt;=I78,"OK","BŁĄD")</f>
        <v>OK</v>
      </c>
      <c r="J143" s="180" t="str">
        <f t="shared" si="37"/>
        <v>OK</v>
      </c>
      <c r="K143" s="180" t="str">
        <f t="shared" si="37"/>
        <v>OK</v>
      </c>
      <c r="L143" s="180" t="str">
        <f t="shared" si="37"/>
        <v>OK</v>
      </c>
      <c r="M143" s="180" t="str">
        <f t="shared" si="37"/>
        <v>OK</v>
      </c>
      <c r="N143" s="180" t="str">
        <f t="shared" si="37"/>
        <v>OK</v>
      </c>
      <c r="O143" s="180" t="str">
        <f t="shared" si="37"/>
        <v>OK</v>
      </c>
      <c r="P143" s="180" t="str">
        <f t="shared" si="37"/>
        <v>OK</v>
      </c>
      <c r="Q143" s="180" t="str">
        <f t="shared" si="37"/>
        <v>OK</v>
      </c>
      <c r="R143" s="180" t="str">
        <f t="shared" si="37"/>
        <v>OK</v>
      </c>
      <c r="S143" s="180" t="e">
        <f t="shared" si="37"/>
        <v>#REF!</v>
      </c>
      <c r="T143" s="180" t="e">
        <f t="shared" si="37"/>
        <v>#REF!</v>
      </c>
      <c r="U143" s="180" t="e">
        <f t="shared" si="37"/>
        <v>#REF!</v>
      </c>
      <c r="V143" s="180" t="e">
        <f t="shared" si="37"/>
        <v>#REF!</v>
      </c>
      <c r="W143" s="180" t="e">
        <f t="shared" si="37"/>
        <v>#REF!</v>
      </c>
      <c r="X143" s="180" t="e">
        <f t="shared" si="37"/>
        <v>#REF!</v>
      </c>
      <c r="Y143" s="180" t="e">
        <f t="shared" si="37"/>
        <v>#REF!</v>
      </c>
      <c r="Z143" s="180" t="e">
        <f t="shared" si="37"/>
        <v>#REF!</v>
      </c>
      <c r="AA143" s="180" t="e">
        <f t="shared" si="37"/>
        <v>#REF!</v>
      </c>
      <c r="AB143" s="180" t="e">
        <f t="shared" si="37"/>
        <v>#REF!</v>
      </c>
      <c r="AC143" s="180" t="e">
        <f t="shared" si="37"/>
        <v>#REF!</v>
      </c>
      <c r="AD143" s="180" t="e">
        <f t="shared" si="37"/>
        <v>#REF!</v>
      </c>
      <c r="AE143" s="180" t="e">
        <f t="shared" si="37"/>
        <v>#REF!</v>
      </c>
      <c r="AF143" s="180" t="e">
        <f t="shared" si="37"/>
        <v>#REF!</v>
      </c>
      <c r="AG143" s="180" t="e">
        <f t="shared" si="37"/>
        <v>#REF!</v>
      </c>
      <c r="AH143" s="180" t="e">
        <f t="shared" si="37"/>
        <v>#REF!</v>
      </c>
      <c r="AI143" s="180" t="e">
        <f t="shared" si="37"/>
        <v>#REF!</v>
      </c>
      <c r="AJ143" s="180" t="e">
        <f t="shared" si="37"/>
        <v>#REF!</v>
      </c>
      <c r="AK143" s="180" t="e">
        <f t="shared" si="37"/>
        <v>#REF!</v>
      </c>
      <c r="AL143" s="181" t="e">
        <f t="shared" si="37"/>
        <v>#REF!</v>
      </c>
    </row>
    <row r="144" spans="1:38" s="237" customFormat="1" ht="14.25" outlineLevel="2">
      <c r="A144" s="243"/>
      <c r="B144" s="241"/>
      <c r="C144" s="242"/>
      <c r="D144" s="239" t="s">
        <v>331</v>
      </c>
      <c r="E144" s="244" t="s">
        <v>28</v>
      </c>
      <c r="F144" s="245" t="s">
        <v>28</v>
      </c>
      <c r="G144" s="245" t="s">
        <v>28</v>
      </c>
      <c r="H144" s="246" t="s">
        <v>28</v>
      </c>
      <c r="I144" s="187" t="str">
        <f aca="true" t="shared" si="38" ref="I144:AL144">+IF(I31&gt;0,IF(I31=I63,"OK","Błąd"),"N/D")</f>
        <v>N/D</v>
      </c>
      <c r="J144" s="187" t="str">
        <f t="shared" si="38"/>
        <v>N/D</v>
      </c>
      <c r="K144" s="187" t="str">
        <f t="shared" si="38"/>
        <v>OK</v>
      </c>
      <c r="L144" s="187" t="str">
        <f t="shared" si="38"/>
        <v>OK</v>
      </c>
      <c r="M144" s="187" t="str">
        <f t="shared" si="38"/>
        <v>OK</v>
      </c>
      <c r="N144" s="187" t="str">
        <f t="shared" si="38"/>
        <v>OK</v>
      </c>
      <c r="O144" s="187" t="str">
        <f t="shared" si="38"/>
        <v>OK</v>
      </c>
      <c r="P144" s="187" t="str">
        <f t="shared" si="38"/>
        <v>OK</v>
      </c>
      <c r="Q144" s="187" t="str">
        <f t="shared" si="38"/>
        <v>OK</v>
      </c>
      <c r="R144" s="187" t="str">
        <f t="shared" si="38"/>
        <v>N/D</v>
      </c>
      <c r="S144" s="187" t="e">
        <f t="shared" si="38"/>
        <v>#REF!</v>
      </c>
      <c r="T144" s="187" t="e">
        <f t="shared" si="38"/>
        <v>#REF!</v>
      </c>
      <c r="U144" s="187" t="e">
        <f t="shared" si="38"/>
        <v>#REF!</v>
      </c>
      <c r="V144" s="187" t="e">
        <f t="shared" si="38"/>
        <v>#REF!</v>
      </c>
      <c r="W144" s="187" t="e">
        <f t="shared" si="38"/>
        <v>#REF!</v>
      </c>
      <c r="X144" s="187" t="e">
        <f t="shared" si="38"/>
        <v>#REF!</v>
      </c>
      <c r="Y144" s="187" t="e">
        <f t="shared" si="38"/>
        <v>#REF!</v>
      </c>
      <c r="Z144" s="187" t="e">
        <f t="shared" si="38"/>
        <v>#REF!</v>
      </c>
      <c r="AA144" s="187" t="e">
        <f t="shared" si="38"/>
        <v>#REF!</v>
      </c>
      <c r="AB144" s="187" t="e">
        <f t="shared" si="38"/>
        <v>#REF!</v>
      </c>
      <c r="AC144" s="187" t="e">
        <f t="shared" si="38"/>
        <v>#REF!</v>
      </c>
      <c r="AD144" s="187" t="e">
        <f t="shared" si="38"/>
        <v>#REF!</v>
      </c>
      <c r="AE144" s="187" t="e">
        <f t="shared" si="38"/>
        <v>#REF!</v>
      </c>
      <c r="AF144" s="187" t="e">
        <f t="shared" si="38"/>
        <v>#REF!</v>
      </c>
      <c r="AG144" s="187" t="e">
        <f t="shared" si="38"/>
        <v>#REF!</v>
      </c>
      <c r="AH144" s="187" t="e">
        <f t="shared" si="38"/>
        <v>#REF!</v>
      </c>
      <c r="AI144" s="187" t="e">
        <f t="shared" si="38"/>
        <v>#REF!</v>
      </c>
      <c r="AJ144" s="187" t="e">
        <f t="shared" si="38"/>
        <v>#REF!</v>
      </c>
      <c r="AK144" s="187" t="e">
        <f t="shared" si="38"/>
        <v>#REF!</v>
      </c>
      <c r="AL144" s="187" t="e">
        <f t="shared" si="38"/>
        <v>#REF!</v>
      </c>
    </row>
    <row r="145" spans="1:38" s="45" customFormat="1" ht="14.25" outlineLevel="2">
      <c r="A145" s="213"/>
      <c r="B145" s="206"/>
      <c r="C145" s="242" t="s">
        <v>217</v>
      </c>
      <c r="D145" s="49" t="s">
        <v>265</v>
      </c>
      <c r="E145" s="225" t="s">
        <v>28</v>
      </c>
      <c r="F145" s="226" t="s">
        <v>28</v>
      </c>
      <c r="G145" s="226" t="s">
        <v>28</v>
      </c>
      <c r="H145" s="227" t="s">
        <v>28</v>
      </c>
      <c r="I145" s="187" t="str">
        <f aca="true" t="shared" si="39" ref="I145:AL145">IF(I63&gt;=I64,"OK","BŁĄD")</f>
        <v>OK</v>
      </c>
      <c r="J145" s="180" t="str">
        <f t="shared" si="39"/>
        <v>OK</v>
      </c>
      <c r="K145" s="180" t="str">
        <f t="shared" si="39"/>
        <v>OK</v>
      </c>
      <c r="L145" s="180" t="str">
        <f t="shared" si="39"/>
        <v>OK</v>
      </c>
      <c r="M145" s="180" t="str">
        <f t="shared" si="39"/>
        <v>OK</v>
      </c>
      <c r="N145" s="180" t="str">
        <f t="shared" si="39"/>
        <v>OK</v>
      </c>
      <c r="O145" s="180" t="str">
        <f t="shared" si="39"/>
        <v>OK</v>
      </c>
      <c r="P145" s="180" t="str">
        <f t="shared" si="39"/>
        <v>OK</v>
      </c>
      <c r="Q145" s="180" t="str">
        <f t="shared" si="39"/>
        <v>OK</v>
      </c>
      <c r="R145" s="180" t="str">
        <f t="shared" si="39"/>
        <v>OK</v>
      </c>
      <c r="S145" s="180" t="e">
        <f t="shared" si="39"/>
        <v>#REF!</v>
      </c>
      <c r="T145" s="180" t="e">
        <f t="shared" si="39"/>
        <v>#REF!</v>
      </c>
      <c r="U145" s="180" t="e">
        <f t="shared" si="39"/>
        <v>#REF!</v>
      </c>
      <c r="V145" s="180" t="e">
        <f t="shared" si="39"/>
        <v>#REF!</v>
      </c>
      <c r="W145" s="180" t="e">
        <f t="shared" si="39"/>
        <v>#REF!</v>
      </c>
      <c r="X145" s="180" t="e">
        <f t="shared" si="39"/>
        <v>#REF!</v>
      </c>
      <c r="Y145" s="180" t="e">
        <f t="shared" si="39"/>
        <v>#REF!</v>
      </c>
      <c r="Z145" s="180" t="e">
        <f t="shared" si="39"/>
        <v>#REF!</v>
      </c>
      <c r="AA145" s="180" t="e">
        <f t="shared" si="39"/>
        <v>#REF!</v>
      </c>
      <c r="AB145" s="180" t="e">
        <f t="shared" si="39"/>
        <v>#REF!</v>
      </c>
      <c r="AC145" s="180" t="e">
        <f t="shared" si="39"/>
        <v>#REF!</v>
      </c>
      <c r="AD145" s="180" t="e">
        <f t="shared" si="39"/>
        <v>#REF!</v>
      </c>
      <c r="AE145" s="180" t="e">
        <f t="shared" si="39"/>
        <v>#REF!</v>
      </c>
      <c r="AF145" s="180" t="e">
        <f t="shared" si="39"/>
        <v>#REF!</v>
      </c>
      <c r="AG145" s="180" t="e">
        <f t="shared" si="39"/>
        <v>#REF!</v>
      </c>
      <c r="AH145" s="180" t="e">
        <f t="shared" si="39"/>
        <v>#REF!</v>
      </c>
      <c r="AI145" s="180" t="e">
        <f t="shared" si="39"/>
        <v>#REF!</v>
      </c>
      <c r="AJ145" s="180" t="e">
        <f t="shared" si="39"/>
        <v>#REF!</v>
      </c>
      <c r="AK145" s="180" t="e">
        <f t="shared" si="39"/>
        <v>#REF!</v>
      </c>
      <c r="AL145" s="181" t="e">
        <f t="shared" si="39"/>
        <v>#REF!</v>
      </c>
    </row>
    <row r="146" spans="1:38" s="45" customFormat="1" ht="14.25" outlineLevel="2">
      <c r="A146" s="213"/>
      <c r="B146" s="202"/>
      <c r="C146" s="242" t="s">
        <v>330</v>
      </c>
      <c r="D146" s="49" t="s">
        <v>329</v>
      </c>
      <c r="E146" s="225" t="s">
        <v>28</v>
      </c>
      <c r="F146" s="226" t="s">
        <v>28</v>
      </c>
      <c r="G146" s="226" t="s">
        <v>28</v>
      </c>
      <c r="H146" s="227" t="s">
        <v>28</v>
      </c>
      <c r="I146" s="187" t="str">
        <f aca="true" t="shared" si="40" ref="I146:AL146">IF(I63&gt;0,IF(I64&gt;0,"OK","BŁĄD"),"N/D")</f>
        <v>N/D</v>
      </c>
      <c r="J146" s="180" t="str">
        <f t="shared" si="40"/>
        <v>N/D</v>
      </c>
      <c r="K146" s="180" t="str">
        <f t="shared" si="40"/>
        <v>OK</v>
      </c>
      <c r="L146" s="180" t="str">
        <f t="shared" si="40"/>
        <v>OK</v>
      </c>
      <c r="M146" s="180" t="str">
        <f t="shared" si="40"/>
        <v>OK</v>
      </c>
      <c r="N146" s="180" t="str">
        <f t="shared" si="40"/>
        <v>OK</v>
      </c>
      <c r="O146" s="180" t="str">
        <f t="shared" si="40"/>
        <v>OK</v>
      </c>
      <c r="P146" s="180" t="str">
        <f t="shared" si="40"/>
        <v>OK</v>
      </c>
      <c r="Q146" s="180" t="str">
        <f t="shared" si="40"/>
        <v>OK</v>
      </c>
      <c r="R146" s="180" t="str">
        <f t="shared" si="40"/>
        <v>N/D</v>
      </c>
      <c r="S146" s="180" t="e">
        <f t="shared" si="40"/>
        <v>#REF!</v>
      </c>
      <c r="T146" s="180" t="e">
        <f t="shared" si="40"/>
        <v>#REF!</v>
      </c>
      <c r="U146" s="180" t="e">
        <f t="shared" si="40"/>
        <v>#REF!</v>
      </c>
      <c r="V146" s="180" t="e">
        <f t="shared" si="40"/>
        <v>#REF!</v>
      </c>
      <c r="W146" s="180" t="e">
        <f t="shared" si="40"/>
        <v>#REF!</v>
      </c>
      <c r="X146" s="180" t="e">
        <f t="shared" si="40"/>
        <v>#REF!</v>
      </c>
      <c r="Y146" s="180" t="e">
        <f t="shared" si="40"/>
        <v>#REF!</v>
      </c>
      <c r="Z146" s="180" t="e">
        <f t="shared" si="40"/>
        <v>#REF!</v>
      </c>
      <c r="AA146" s="180" t="e">
        <f t="shared" si="40"/>
        <v>#REF!</v>
      </c>
      <c r="AB146" s="180" t="e">
        <f t="shared" si="40"/>
        <v>#REF!</v>
      </c>
      <c r="AC146" s="180" t="e">
        <f t="shared" si="40"/>
        <v>#REF!</v>
      </c>
      <c r="AD146" s="180" t="e">
        <f t="shared" si="40"/>
        <v>#REF!</v>
      </c>
      <c r="AE146" s="180" t="e">
        <f t="shared" si="40"/>
        <v>#REF!</v>
      </c>
      <c r="AF146" s="180" t="e">
        <f t="shared" si="40"/>
        <v>#REF!</v>
      </c>
      <c r="AG146" s="180" t="e">
        <f t="shared" si="40"/>
        <v>#REF!</v>
      </c>
      <c r="AH146" s="180" t="e">
        <f t="shared" si="40"/>
        <v>#REF!</v>
      </c>
      <c r="AI146" s="180" t="e">
        <f t="shared" si="40"/>
        <v>#REF!</v>
      </c>
      <c r="AJ146" s="180" t="e">
        <f t="shared" si="40"/>
        <v>#REF!</v>
      </c>
      <c r="AK146" s="180" t="e">
        <f t="shared" si="40"/>
        <v>#REF!</v>
      </c>
      <c r="AL146" s="181" t="e">
        <f t="shared" si="40"/>
        <v>#REF!</v>
      </c>
    </row>
    <row r="147" spans="1:38" s="45" customFormat="1" ht="14.25" outlineLevel="2">
      <c r="A147" s="213"/>
      <c r="B147" s="206"/>
      <c r="C147" s="242" t="s">
        <v>219</v>
      </c>
      <c r="D147" s="49" t="s">
        <v>267</v>
      </c>
      <c r="E147" s="225" t="s">
        <v>28</v>
      </c>
      <c r="F147" s="226" t="s">
        <v>28</v>
      </c>
      <c r="G147" s="226" t="s">
        <v>28</v>
      </c>
      <c r="H147" s="227" t="s">
        <v>28</v>
      </c>
      <c r="I147" s="187" t="str">
        <f aca="true" t="shared" si="41" ref="I147:AL147">IF(I75&gt;=I76,"OK","BŁĄD")</f>
        <v>OK</v>
      </c>
      <c r="J147" s="180" t="str">
        <f t="shared" si="41"/>
        <v>OK</v>
      </c>
      <c r="K147" s="180" t="str">
        <f t="shared" si="41"/>
        <v>OK</v>
      </c>
      <c r="L147" s="180" t="str">
        <f t="shared" si="41"/>
        <v>OK</v>
      </c>
      <c r="M147" s="180" t="str">
        <f t="shared" si="41"/>
        <v>OK</v>
      </c>
      <c r="N147" s="180" t="str">
        <f t="shared" si="41"/>
        <v>OK</v>
      </c>
      <c r="O147" s="180" t="str">
        <f t="shared" si="41"/>
        <v>OK</v>
      </c>
      <c r="P147" s="180" t="str">
        <f t="shared" si="41"/>
        <v>OK</v>
      </c>
      <c r="Q147" s="180" t="str">
        <f t="shared" si="41"/>
        <v>OK</v>
      </c>
      <c r="R147" s="180" t="str">
        <f t="shared" si="41"/>
        <v>OK</v>
      </c>
      <c r="S147" s="180" t="e">
        <f t="shared" si="41"/>
        <v>#REF!</v>
      </c>
      <c r="T147" s="180" t="e">
        <f t="shared" si="41"/>
        <v>#REF!</v>
      </c>
      <c r="U147" s="180" t="e">
        <f t="shared" si="41"/>
        <v>#REF!</v>
      </c>
      <c r="V147" s="180" t="e">
        <f t="shared" si="41"/>
        <v>#REF!</v>
      </c>
      <c r="W147" s="180" t="e">
        <f t="shared" si="41"/>
        <v>#REF!</v>
      </c>
      <c r="X147" s="180" t="e">
        <f t="shared" si="41"/>
        <v>#REF!</v>
      </c>
      <c r="Y147" s="180" t="e">
        <f t="shared" si="41"/>
        <v>#REF!</v>
      </c>
      <c r="Z147" s="180" t="e">
        <f t="shared" si="41"/>
        <v>#REF!</v>
      </c>
      <c r="AA147" s="180" t="e">
        <f t="shared" si="41"/>
        <v>#REF!</v>
      </c>
      <c r="AB147" s="180" t="e">
        <f t="shared" si="41"/>
        <v>#REF!</v>
      </c>
      <c r="AC147" s="180" t="e">
        <f t="shared" si="41"/>
        <v>#REF!</v>
      </c>
      <c r="AD147" s="180" t="e">
        <f t="shared" si="41"/>
        <v>#REF!</v>
      </c>
      <c r="AE147" s="180" t="e">
        <f t="shared" si="41"/>
        <v>#REF!</v>
      </c>
      <c r="AF147" s="180" t="e">
        <f t="shared" si="41"/>
        <v>#REF!</v>
      </c>
      <c r="AG147" s="180" t="e">
        <f t="shared" si="41"/>
        <v>#REF!</v>
      </c>
      <c r="AH147" s="180" t="e">
        <f t="shared" si="41"/>
        <v>#REF!</v>
      </c>
      <c r="AI147" s="180" t="e">
        <f t="shared" si="41"/>
        <v>#REF!</v>
      </c>
      <c r="AJ147" s="180" t="e">
        <f t="shared" si="41"/>
        <v>#REF!</v>
      </c>
      <c r="AK147" s="180" t="e">
        <f t="shared" si="41"/>
        <v>#REF!</v>
      </c>
      <c r="AL147" s="181" t="e">
        <f t="shared" si="41"/>
        <v>#REF!</v>
      </c>
    </row>
    <row r="148" spans="1:38" s="45" customFormat="1" ht="14.25" outlineLevel="2">
      <c r="A148" s="213"/>
      <c r="B148" s="206"/>
      <c r="C148" s="242" t="s">
        <v>218</v>
      </c>
      <c r="D148" s="49" t="s">
        <v>266</v>
      </c>
      <c r="E148" s="225" t="s">
        <v>28</v>
      </c>
      <c r="F148" s="226" t="s">
        <v>28</v>
      </c>
      <c r="G148" s="226" t="s">
        <v>28</v>
      </c>
      <c r="H148" s="227" t="s">
        <v>28</v>
      </c>
      <c r="I148" s="187" t="str">
        <f aca="true" t="shared" si="42" ref="I148:AL148">IF(I76&gt;=I77,"OK","BŁĄD")</f>
        <v>OK</v>
      </c>
      <c r="J148" s="180" t="str">
        <f t="shared" si="42"/>
        <v>OK</v>
      </c>
      <c r="K148" s="180" t="str">
        <f t="shared" si="42"/>
        <v>OK</v>
      </c>
      <c r="L148" s="180" t="str">
        <f t="shared" si="42"/>
        <v>OK</v>
      </c>
      <c r="M148" s="180" t="str">
        <f t="shared" si="42"/>
        <v>OK</v>
      </c>
      <c r="N148" s="180" t="str">
        <f t="shared" si="42"/>
        <v>OK</v>
      </c>
      <c r="O148" s="180" t="str">
        <f t="shared" si="42"/>
        <v>OK</v>
      </c>
      <c r="P148" s="180" t="str">
        <f t="shared" si="42"/>
        <v>OK</v>
      </c>
      <c r="Q148" s="180" t="str">
        <f t="shared" si="42"/>
        <v>OK</v>
      </c>
      <c r="R148" s="180" t="str">
        <f t="shared" si="42"/>
        <v>OK</v>
      </c>
      <c r="S148" s="180" t="e">
        <f t="shared" si="42"/>
        <v>#REF!</v>
      </c>
      <c r="T148" s="180" t="e">
        <f t="shared" si="42"/>
        <v>#REF!</v>
      </c>
      <c r="U148" s="180" t="e">
        <f t="shared" si="42"/>
        <v>#REF!</v>
      </c>
      <c r="V148" s="180" t="e">
        <f t="shared" si="42"/>
        <v>#REF!</v>
      </c>
      <c r="W148" s="180" t="e">
        <f t="shared" si="42"/>
        <v>#REF!</v>
      </c>
      <c r="X148" s="180" t="e">
        <f t="shared" si="42"/>
        <v>#REF!</v>
      </c>
      <c r="Y148" s="180" t="e">
        <f t="shared" si="42"/>
        <v>#REF!</v>
      </c>
      <c r="Z148" s="180" t="e">
        <f t="shared" si="42"/>
        <v>#REF!</v>
      </c>
      <c r="AA148" s="180" t="e">
        <f t="shared" si="42"/>
        <v>#REF!</v>
      </c>
      <c r="AB148" s="180" t="e">
        <f t="shared" si="42"/>
        <v>#REF!</v>
      </c>
      <c r="AC148" s="180" t="e">
        <f t="shared" si="42"/>
        <v>#REF!</v>
      </c>
      <c r="AD148" s="180" t="e">
        <f t="shared" si="42"/>
        <v>#REF!</v>
      </c>
      <c r="AE148" s="180" t="e">
        <f t="shared" si="42"/>
        <v>#REF!</v>
      </c>
      <c r="AF148" s="180" t="e">
        <f t="shared" si="42"/>
        <v>#REF!</v>
      </c>
      <c r="AG148" s="180" t="e">
        <f t="shared" si="42"/>
        <v>#REF!</v>
      </c>
      <c r="AH148" s="180" t="e">
        <f t="shared" si="42"/>
        <v>#REF!</v>
      </c>
      <c r="AI148" s="180" t="e">
        <f t="shared" si="42"/>
        <v>#REF!</v>
      </c>
      <c r="AJ148" s="180" t="e">
        <f t="shared" si="42"/>
        <v>#REF!</v>
      </c>
      <c r="AK148" s="180" t="e">
        <f t="shared" si="42"/>
        <v>#REF!</v>
      </c>
      <c r="AL148" s="181" t="e">
        <f t="shared" si="42"/>
        <v>#REF!</v>
      </c>
    </row>
    <row r="149" spans="1:38" s="45" customFormat="1" ht="14.25" outlineLevel="2">
      <c r="A149" s="213"/>
      <c r="B149" s="206"/>
      <c r="C149" s="242" t="s">
        <v>221</v>
      </c>
      <c r="D149" s="49" t="s">
        <v>269</v>
      </c>
      <c r="E149" s="225" t="s">
        <v>28</v>
      </c>
      <c r="F149" s="226" t="s">
        <v>28</v>
      </c>
      <c r="G149" s="226" t="s">
        <v>28</v>
      </c>
      <c r="H149" s="227" t="s">
        <v>28</v>
      </c>
      <c r="I149" s="187" t="str">
        <f aca="true" t="shared" si="43" ref="I149:AL149">IF(I78&gt;=I79,"OK","BŁĄD")</f>
        <v>OK</v>
      </c>
      <c r="J149" s="180" t="str">
        <f t="shared" si="43"/>
        <v>OK</v>
      </c>
      <c r="K149" s="180" t="str">
        <f t="shared" si="43"/>
        <v>OK</v>
      </c>
      <c r="L149" s="180" t="str">
        <f t="shared" si="43"/>
        <v>OK</v>
      </c>
      <c r="M149" s="180" t="str">
        <f t="shared" si="43"/>
        <v>OK</v>
      </c>
      <c r="N149" s="180" t="str">
        <f t="shared" si="43"/>
        <v>OK</v>
      </c>
      <c r="O149" s="180" t="str">
        <f t="shared" si="43"/>
        <v>OK</v>
      </c>
      <c r="P149" s="180" t="str">
        <f t="shared" si="43"/>
        <v>OK</v>
      </c>
      <c r="Q149" s="180" t="str">
        <f t="shared" si="43"/>
        <v>OK</v>
      </c>
      <c r="R149" s="180" t="str">
        <f t="shared" si="43"/>
        <v>OK</v>
      </c>
      <c r="S149" s="180" t="e">
        <f t="shared" si="43"/>
        <v>#REF!</v>
      </c>
      <c r="T149" s="180" t="e">
        <f t="shared" si="43"/>
        <v>#REF!</v>
      </c>
      <c r="U149" s="180" t="e">
        <f t="shared" si="43"/>
        <v>#REF!</v>
      </c>
      <c r="V149" s="180" t="e">
        <f t="shared" si="43"/>
        <v>#REF!</v>
      </c>
      <c r="W149" s="180" t="e">
        <f t="shared" si="43"/>
        <v>#REF!</v>
      </c>
      <c r="X149" s="180" t="e">
        <f t="shared" si="43"/>
        <v>#REF!</v>
      </c>
      <c r="Y149" s="180" t="e">
        <f t="shared" si="43"/>
        <v>#REF!</v>
      </c>
      <c r="Z149" s="180" t="e">
        <f t="shared" si="43"/>
        <v>#REF!</v>
      </c>
      <c r="AA149" s="180" t="e">
        <f t="shared" si="43"/>
        <v>#REF!</v>
      </c>
      <c r="AB149" s="180" t="e">
        <f t="shared" si="43"/>
        <v>#REF!</v>
      </c>
      <c r="AC149" s="180" t="e">
        <f t="shared" si="43"/>
        <v>#REF!</v>
      </c>
      <c r="AD149" s="180" t="e">
        <f t="shared" si="43"/>
        <v>#REF!</v>
      </c>
      <c r="AE149" s="180" t="e">
        <f t="shared" si="43"/>
        <v>#REF!</v>
      </c>
      <c r="AF149" s="180" t="e">
        <f t="shared" si="43"/>
        <v>#REF!</v>
      </c>
      <c r="AG149" s="180" t="e">
        <f t="shared" si="43"/>
        <v>#REF!</v>
      </c>
      <c r="AH149" s="180" t="e">
        <f t="shared" si="43"/>
        <v>#REF!</v>
      </c>
      <c r="AI149" s="180" t="e">
        <f t="shared" si="43"/>
        <v>#REF!</v>
      </c>
      <c r="AJ149" s="180" t="e">
        <f t="shared" si="43"/>
        <v>#REF!</v>
      </c>
      <c r="AK149" s="180" t="e">
        <f t="shared" si="43"/>
        <v>#REF!</v>
      </c>
      <c r="AL149" s="181" t="e">
        <f t="shared" si="43"/>
        <v>#REF!</v>
      </c>
    </row>
    <row r="150" spans="1:38" s="45" customFormat="1" ht="14.25" outlineLevel="2">
      <c r="A150" s="213"/>
      <c r="B150" s="206"/>
      <c r="C150" s="242" t="s">
        <v>220</v>
      </c>
      <c r="D150" s="49" t="s">
        <v>268</v>
      </c>
      <c r="E150" s="225" t="s">
        <v>28</v>
      </c>
      <c r="F150" s="226" t="s">
        <v>28</v>
      </c>
      <c r="G150" s="226" t="s">
        <v>28</v>
      </c>
      <c r="H150" s="227" t="s">
        <v>28</v>
      </c>
      <c r="I150" s="187" t="str">
        <f aca="true" t="shared" si="44" ref="I150:AL150">IF(I79&gt;=I80,"OK","BŁĄD")</f>
        <v>OK</v>
      </c>
      <c r="J150" s="180" t="str">
        <f t="shared" si="44"/>
        <v>OK</v>
      </c>
      <c r="K150" s="180" t="str">
        <f t="shared" si="44"/>
        <v>OK</v>
      </c>
      <c r="L150" s="180" t="str">
        <f t="shared" si="44"/>
        <v>OK</v>
      </c>
      <c r="M150" s="180" t="str">
        <f t="shared" si="44"/>
        <v>OK</v>
      </c>
      <c r="N150" s="180" t="str">
        <f t="shared" si="44"/>
        <v>OK</v>
      </c>
      <c r="O150" s="180" t="str">
        <f t="shared" si="44"/>
        <v>OK</v>
      </c>
      <c r="P150" s="180" t="str">
        <f t="shared" si="44"/>
        <v>OK</v>
      </c>
      <c r="Q150" s="180" t="str">
        <f t="shared" si="44"/>
        <v>OK</v>
      </c>
      <c r="R150" s="180" t="str">
        <f t="shared" si="44"/>
        <v>OK</v>
      </c>
      <c r="S150" s="180" t="e">
        <f t="shared" si="44"/>
        <v>#REF!</v>
      </c>
      <c r="T150" s="180" t="e">
        <f t="shared" si="44"/>
        <v>#REF!</v>
      </c>
      <c r="U150" s="180" t="e">
        <f t="shared" si="44"/>
        <v>#REF!</v>
      </c>
      <c r="V150" s="180" t="e">
        <f t="shared" si="44"/>
        <v>#REF!</v>
      </c>
      <c r="W150" s="180" t="e">
        <f t="shared" si="44"/>
        <v>#REF!</v>
      </c>
      <c r="X150" s="180" t="e">
        <f t="shared" si="44"/>
        <v>#REF!</v>
      </c>
      <c r="Y150" s="180" t="e">
        <f t="shared" si="44"/>
        <v>#REF!</v>
      </c>
      <c r="Z150" s="180" t="e">
        <f t="shared" si="44"/>
        <v>#REF!</v>
      </c>
      <c r="AA150" s="180" t="e">
        <f t="shared" si="44"/>
        <v>#REF!</v>
      </c>
      <c r="AB150" s="180" t="e">
        <f t="shared" si="44"/>
        <v>#REF!</v>
      </c>
      <c r="AC150" s="180" t="e">
        <f t="shared" si="44"/>
        <v>#REF!</v>
      </c>
      <c r="AD150" s="180" t="e">
        <f t="shared" si="44"/>
        <v>#REF!</v>
      </c>
      <c r="AE150" s="180" t="e">
        <f t="shared" si="44"/>
        <v>#REF!</v>
      </c>
      <c r="AF150" s="180" t="e">
        <f t="shared" si="44"/>
        <v>#REF!</v>
      </c>
      <c r="AG150" s="180" t="e">
        <f t="shared" si="44"/>
        <v>#REF!</v>
      </c>
      <c r="AH150" s="180" t="e">
        <f t="shared" si="44"/>
        <v>#REF!</v>
      </c>
      <c r="AI150" s="180" t="e">
        <f t="shared" si="44"/>
        <v>#REF!</v>
      </c>
      <c r="AJ150" s="180" t="e">
        <f t="shared" si="44"/>
        <v>#REF!</v>
      </c>
      <c r="AK150" s="180" t="e">
        <f t="shared" si="44"/>
        <v>#REF!</v>
      </c>
      <c r="AL150" s="181" t="e">
        <f t="shared" si="44"/>
        <v>#REF!</v>
      </c>
    </row>
    <row r="151" spans="1:38" s="45" customFormat="1" ht="14.25" outlineLevel="2">
      <c r="A151" s="213"/>
      <c r="B151" s="206"/>
      <c r="C151" s="242" t="s">
        <v>222</v>
      </c>
      <c r="D151" s="49" t="s">
        <v>270</v>
      </c>
      <c r="E151" s="225" t="s">
        <v>28</v>
      </c>
      <c r="F151" s="226" t="s">
        <v>28</v>
      </c>
      <c r="G151" s="226" t="s">
        <v>28</v>
      </c>
      <c r="H151" s="227" t="s">
        <v>28</v>
      </c>
      <c r="I151" s="187" t="str">
        <f aca="true" t="shared" si="45" ref="I151:AL151">IF(I81&gt;=I82,"OK","BŁĄD")</f>
        <v>OK</v>
      </c>
      <c r="J151" s="180" t="str">
        <f t="shared" si="45"/>
        <v>OK</v>
      </c>
      <c r="K151" s="180" t="str">
        <f t="shared" si="45"/>
        <v>OK</v>
      </c>
      <c r="L151" s="180" t="str">
        <f t="shared" si="45"/>
        <v>OK</v>
      </c>
      <c r="M151" s="180" t="str">
        <f t="shared" si="45"/>
        <v>OK</v>
      </c>
      <c r="N151" s="180" t="str">
        <f t="shared" si="45"/>
        <v>OK</v>
      </c>
      <c r="O151" s="180" t="str">
        <f t="shared" si="45"/>
        <v>OK</v>
      </c>
      <c r="P151" s="180" t="str">
        <f t="shared" si="45"/>
        <v>OK</v>
      </c>
      <c r="Q151" s="180" t="str">
        <f t="shared" si="45"/>
        <v>OK</v>
      </c>
      <c r="R151" s="180" t="str">
        <f t="shared" si="45"/>
        <v>OK</v>
      </c>
      <c r="S151" s="180" t="e">
        <f t="shared" si="45"/>
        <v>#REF!</v>
      </c>
      <c r="T151" s="180" t="e">
        <f t="shared" si="45"/>
        <v>#REF!</v>
      </c>
      <c r="U151" s="180" t="e">
        <f t="shared" si="45"/>
        <v>#REF!</v>
      </c>
      <c r="V151" s="180" t="e">
        <f t="shared" si="45"/>
        <v>#REF!</v>
      </c>
      <c r="W151" s="180" t="e">
        <f t="shared" si="45"/>
        <v>#REF!</v>
      </c>
      <c r="X151" s="180" t="e">
        <f t="shared" si="45"/>
        <v>#REF!</v>
      </c>
      <c r="Y151" s="180" t="e">
        <f t="shared" si="45"/>
        <v>#REF!</v>
      </c>
      <c r="Z151" s="180" t="e">
        <f t="shared" si="45"/>
        <v>#REF!</v>
      </c>
      <c r="AA151" s="180" t="e">
        <f t="shared" si="45"/>
        <v>#REF!</v>
      </c>
      <c r="AB151" s="180" t="e">
        <f t="shared" si="45"/>
        <v>#REF!</v>
      </c>
      <c r="AC151" s="180" t="e">
        <f t="shared" si="45"/>
        <v>#REF!</v>
      </c>
      <c r="AD151" s="180" t="e">
        <f t="shared" si="45"/>
        <v>#REF!</v>
      </c>
      <c r="AE151" s="180" t="e">
        <f t="shared" si="45"/>
        <v>#REF!</v>
      </c>
      <c r="AF151" s="180" t="e">
        <f t="shared" si="45"/>
        <v>#REF!</v>
      </c>
      <c r="AG151" s="180" t="e">
        <f t="shared" si="45"/>
        <v>#REF!</v>
      </c>
      <c r="AH151" s="180" t="e">
        <f t="shared" si="45"/>
        <v>#REF!</v>
      </c>
      <c r="AI151" s="180" t="e">
        <f t="shared" si="45"/>
        <v>#REF!</v>
      </c>
      <c r="AJ151" s="180" t="e">
        <f t="shared" si="45"/>
        <v>#REF!</v>
      </c>
      <c r="AK151" s="180" t="e">
        <f t="shared" si="45"/>
        <v>#REF!</v>
      </c>
      <c r="AL151" s="181" t="e">
        <f t="shared" si="45"/>
        <v>#REF!</v>
      </c>
    </row>
    <row r="152" spans="1:38" s="45" customFormat="1" ht="14.25" outlineLevel="2">
      <c r="A152" s="213"/>
      <c r="B152" s="206"/>
      <c r="C152" s="242" t="s">
        <v>223</v>
      </c>
      <c r="D152" s="49" t="s">
        <v>271</v>
      </c>
      <c r="E152" s="225" t="s">
        <v>28</v>
      </c>
      <c r="F152" s="226" t="s">
        <v>28</v>
      </c>
      <c r="G152" s="226" t="s">
        <v>28</v>
      </c>
      <c r="H152" s="227" t="s">
        <v>28</v>
      </c>
      <c r="I152" s="187" t="str">
        <f aca="true" t="shared" si="46" ref="I152:AL152">IF(I81&gt;=I83,"OK","BŁĄD")</f>
        <v>OK</v>
      </c>
      <c r="J152" s="180" t="str">
        <f t="shared" si="46"/>
        <v>OK</v>
      </c>
      <c r="K152" s="180" t="str">
        <f t="shared" si="46"/>
        <v>OK</v>
      </c>
      <c r="L152" s="180" t="str">
        <f t="shared" si="46"/>
        <v>OK</v>
      </c>
      <c r="M152" s="180" t="str">
        <f t="shared" si="46"/>
        <v>OK</v>
      </c>
      <c r="N152" s="180" t="str">
        <f t="shared" si="46"/>
        <v>OK</v>
      </c>
      <c r="O152" s="180" t="str">
        <f t="shared" si="46"/>
        <v>OK</v>
      </c>
      <c r="P152" s="180" t="str">
        <f t="shared" si="46"/>
        <v>OK</v>
      </c>
      <c r="Q152" s="180" t="str">
        <f t="shared" si="46"/>
        <v>OK</v>
      </c>
      <c r="R152" s="180" t="str">
        <f t="shared" si="46"/>
        <v>OK</v>
      </c>
      <c r="S152" s="180" t="e">
        <f t="shared" si="46"/>
        <v>#REF!</v>
      </c>
      <c r="T152" s="180" t="e">
        <f t="shared" si="46"/>
        <v>#REF!</v>
      </c>
      <c r="U152" s="180" t="e">
        <f t="shared" si="46"/>
        <v>#REF!</v>
      </c>
      <c r="V152" s="180" t="e">
        <f t="shared" si="46"/>
        <v>#REF!</v>
      </c>
      <c r="W152" s="180" t="e">
        <f t="shared" si="46"/>
        <v>#REF!</v>
      </c>
      <c r="X152" s="180" t="e">
        <f t="shared" si="46"/>
        <v>#REF!</v>
      </c>
      <c r="Y152" s="180" t="e">
        <f t="shared" si="46"/>
        <v>#REF!</v>
      </c>
      <c r="Z152" s="180" t="e">
        <f t="shared" si="46"/>
        <v>#REF!</v>
      </c>
      <c r="AA152" s="180" t="e">
        <f t="shared" si="46"/>
        <v>#REF!</v>
      </c>
      <c r="AB152" s="180" t="e">
        <f t="shared" si="46"/>
        <v>#REF!</v>
      </c>
      <c r="AC152" s="180" t="e">
        <f t="shared" si="46"/>
        <v>#REF!</v>
      </c>
      <c r="AD152" s="180" t="e">
        <f t="shared" si="46"/>
        <v>#REF!</v>
      </c>
      <c r="AE152" s="180" t="e">
        <f t="shared" si="46"/>
        <v>#REF!</v>
      </c>
      <c r="AF152" s="180" t="e">
        <f t="shared" si="46"/>
        <v>#REF!</v>
      </c>
      <c r="AG152" s="180" t="e">
        <f t="shared" si="46"/>
        <v>#REF!</v>
      </c>
      <c r="AH152" s="180" t="e">
        <f t="shared" si="46"/>
        <v>#REF!</v>
      </c>
      <c r="AI152" s="180" t="e">
        <f t="shared" si="46"/>
        <v>#REF!</v>
      </c>
      <c r="AJ152" s="180" t="e">
        <f t="shared" si="46"/>
        <v>#REF!</v>
      </c>
      <c r="AK152" s="180" t="e">
        <f t="shared" si="46"/>
        <v>#REF!</v>
      </c>
      <c r="AL152" s="181" t="e">
        <f t="shared" si="46"/>
        <v>#REF!</v>
      </c>
    </row>
    <row r="153" spans="1:38" s="45" customFormat="1" ht="14.25" outlineLevel="2">
      <c r="A153" s="213"/>
      <c r="B153" s="206"/>
      <c r="C153" s="242" t="s">
        <v>224</v>
      </c>
      <c r="D153" s="49" t="s">
        <v>272</v>
      </c>
      <c r="E153" s="225" t="s">
        <v>28</v>
      </c>
      <c r="F153" s="226" t="s">
        <v>28</v>
      </c>
      <c r="G153" s="226" t="s">
        <v>28</v>
      </c>
      <c r="H153" s="227" t="s">
        <v>28</v>
      </c>
      <c r="I153" s="187" t="str">
        <f aca="true" t="shared" si="47" ref="I153:AL153">IF(I84&gt;=I85,"OK","BŁĄD")</f>
        <v>OK</v>
      </c>
      <c r="J153" s="180" t="str">
        <f t="shared" si="47"/>
        <v>OK</v>
      </c>
      <c r="K153" s="180" t="str">
        <f t="shared" si="47"/>
        <v>OK</v>
      </c>
      <c r="L153" s="180" t="str">
        <f t="shared" si="47"/>
        <v>OK</v>
      </c>
      <c r="M153" s="180" t="str">
        <f t="shared" si="47"/>
        <v>OK</v>
      </c>
      <c r="N153" s="180" t="str">
        <f t="shared" si="47"/>
        <v>OK</v>
      </c>
      <c r="O153" s="180" t="str">
        <f t="shared" si="47"/>
        <v>OK</v>
      </c>
      <c r="P153" s="180" t="str">
        <f t="shared" si="47"/>
        <v>OK</v>
      </c>
      <c r="Q153" s="180" t="str">
        <f t="shared" si="47"/>
        <v>OK</v>
      </c>
      <c r="R153" s="180" t="str">
        <f t="shared" si="47"/>
        <v>OK</v>
      </c>
      <c r="S153" s="180" t="e">
        <f t="shared" si="47"/>
        <v>#REF!</v>
      </c>
      <c r="T153" s="180" t="e">
        <f t="shared" si="47"/>
        <v>#REF!</v>
      </c>
      <c r="U153" s="180" t="e">
        <f t="shared" si="47"/>
        <v>#REF!</v>
      </c>
      <c r="V153" s="180" t="e">
        <f t="shared" si="47"/>
        <v>#REF!</v>
      </c>
      <c r="W153" s="180" t="e">
        <f t="shared" si="47"/>
        <v>#REF!</v>
      </c>
      <c r="X153" s="180" t="e">
        <f t="shared" si="47"/>
        <v>#REF!</v>
      </c>
      <c r="Y153" s="180" t="e">
        <f t="shared" si="47"/>
        <v>#REF!</v>
      </c>
      <c r="Z153" s="180" t="e">
        <f t="shared" si="47"/>
        <v>#REF!</v>
      </c>
      <c r="AA153" s="180" t="e">
        <f t="shared" si="47"/>
        <v>#REF!</v>
      </c>
      <c r="AB153" s="180" t="e">
        <f t="shared" si="47"/>
        <v>#REF!</v>
      </c>
      <c r="AC153" s="180" t="e">
        <f t="shared" si="47"/>
        <v>#REF!</v>
      </c>
      <c r="AD153" s="180" t="e">
        <f t="shared" si="47"/>
        <v>#REF!</v>
      </c>
      <c r="AE153" s="180" t="e">
        <f t="shared" si="47"/>
        <v>#REF!</v>
      </c>
      <c r="AF153" s="180" t="e">
        <f t="shared" si="47"/>
        <v>#REF!</v>
      </c>
      <c r="AG153" s="180" t="e">
        <f t="shared" si="47"/>
        <v>#REF!</v>
      </c>
      <c r="AH153" s="180" t="e">
        <f t="shared" si="47"/>
        <v>#REF!</v>
      </c>
      <c r="AI153" s="180" t="e">
        <f t="shared" si="47"/>
        <v>#REF!</v>
      </c>
      <c r="AJ153" s="180" t="e">
        <f t="shared" si="47"/>
        <v>#REF!</v>
      </c>
      <c r="AK153" s="180" t="e">
        <f t="shared" si="47"/>
        <v>#REF!</v>
      </c>
      <c r="AL153" s="181" t="e">
        <f t="shared" si="47"/>
        <v>#REF!</v>
      </c>
    </row>
    <row r="154" spans="1:38" s="45" customFormat="1" ht="14.25" outlineLevel="2">
      <c r="A154" s="213"/>
      <c r="B154" s="206"/>
      <c r="C154" s="242" t="s">
        <v>225</v>
      </c>
      <c r="D154" s="49" t="s">
        <v>273</v>
      </c>
      <c r="E154" s="225" t="s">
        <v>28</v>
      </c>
      <c r="F154" s="226" t="s">
        <v>28</v>
      </c>
      <c r="G154" s="226" t="s">
        <v>28</v>
      </c>
      <c r="H154" s="227" t="s">
        <v>28</v>
      </c>
      <c r="I154" s="187" t="str">
        <f aca="true" t="shared" si="48" ref="I154:AL154">IF(I84&gt;=I86,"OK","BŁĄD")</f>
        <v>OK</v>
      </c>
      <c r="J154" s="180" t="str">
        <f t="shared" si="48"/>
        <v>OK</v>
      </c>
      <c r="K154" s="180" t="str">
        <f t="shared" si="48"/>
        <v>OK</v>
      </c>
      <c r="L154" s="180" t="str">
        <f t="shared" si="48"/>
        <v>OK</v>
      </c>
      <c r="M154" s="180" t="str">
        <f t="shared" si="48"/>
        <v>OK</v>
      </c>
      <c r="N154" s="180" t="str">
        <f t="shared" si="48"/>
        <v>OK</v>
      </c>
      <c r="O154" s="180" t="str">
        <f t="shared" si="48"/>
        <v>OK</v>
      </c>
      <c r="P154" s="180" t="str">
        <f t="shared" si="48"/>
        <v>OK</v>
      </c>
      <c r="Q154" s="180" t="str">
        <f t="shared" si="48"/>
        <v>OK</v>
      </c>
      <c r="R154" s="180" t="str">
        <f t="shared" si="48"/>
        <v>OK</v>
      </c>
      <c r="S154" s="180" t="e">
        <f t="shared" si="48"/>
        <v>#REF!</v>
      </c>
      <c r="T154" s="180" t="e">
        <f t="shared" si="48"/>
        <v>#REF!</v>
      </c>
      <c r="U154" s="180" t="e">
        <f t="shared" si="48"/>
        <v>#REF!</v>
      </c>
      <c r="V154" s="180" t="e">
        <f t="shared" si="48"/>
        <v>#REF!</v>
      </c>
      <c r="W154" s="180" t="e">
        <f t="shared" si="48"/>
        <v>#REF!</v>
      </c>
      <c r="X154" s="180" t="e">
        <f t="shared" si="48"/>
        <v>#REF!</v>
      </c>
      <c r="Y154" s="180" t="e">
        <f t="shared" si="48"/>
        <v>#REF!</v>
      </c>
      <c r="Z154" s="180" t="e">
        <f t="shared" si="48"/>
        <v>#REF!</v>
      </c>
      <c r="AA154" s="180" t="e">
        <f t="shared" si="48"/>
        <v>#REF!</v>
      </c>
      <c r="AB154" s="180" t="e">
        <f t="shared" si="48"/>
        <v>#REF!</v>
      </c>
      <c r="AC154" s="180" t="e">
        <f t="shared" si="48"/>
        <v>#REF!</v>
      </c>
      <c r="AD154" s="180" t="e">
        <f t="shared" si="48"/>
        <v>#REF!</v>
      </c>
      <c r="AE154" s="180" t="e">
        <f t="shared" si="48"/>
        <v>#REF!</v>
      </c>
      <c r="AF154" s="180" t="e">
        <f t="shared" si="48"/>
        <v>#REF!</v>
      </c>
      <c r="AG154" s="180" t="e">
        <f t="shared" si="48"/>
        <v>#REF!</v>
      </c>
      <c r="AH154" s="180" t="e">
        <f t="shared" si="48"/>
        <v>#REF!</v>
      </c>
      <c r="AI154" s="180" t="e">
        <f t="shared" si="48"/>
        <v>#REF!</v>
      </c>
      <c r="AJ154" s="180" t="e">
        <f t="shared" si="48"/>
        <v>#REF!</v>
      </c>
      <c r="AK154" s="180" t="e">
        <f t="shared" si="48"/>
        <v>#REF!</v>
      </c>
      <c r="AL154" s="181" t="e">
        <f t="shared" si="48"/>
        <v>#REF!</v>
      </c>
    </row>
    <row r="155" spans="1:38" s="237" customFormat="1" ht="14.25" outlineLevel="2">
      <c r="A155" s="243"/>
      <c r="B155" s="241"/>
      <c r="C155" s="242" t="s">
        <v>224</v>
      </c>
      <c r="D155" s="239" t="s">
        <v>399</v>
      </c>
      <c r="E155" s="244" t="s">
        <v>28</v>
      </c>
      <c r="F155" s="245" t="s">
        <v>28</v>
      </c>
      <c r="G155" s="245" t="s">
        <v>28</v>
      </c>
      <c r="H155" s="246" t="s">
        <v>28</v>
      </c>
      <c r="I155" s="187" t="str">
        <f>IF(I87&gt;=I88,"OK","BŁĄD")</f>
        <v>OK</v>
      </c>
      <c r="J155" s="180" t="str">
        <f aca="true" t="shared" si="49" ref="J155:AL155">IF(J87&gt;=J88,"OK","BŁĄD")</f>
        <v>OK</v>
      </c>
      <c r="K155" s="180" t="str">
        <f t="shared" si="49"/>
        <v>OK</v>
      </c>
      <c r="L155" s="180" t="str">
        <f t="shared" si="49"/>
        <v>OK</v>
      </c>
      <c r="M155" s="180" t="str">
        <f t="shared" si="49"/>
        <v>OK</v>
      </c>
      <c r="N155" s="180" t="str">
        <f t="shared" si="49"/>
        <v>OK</v>
      </c>
      <c r="O155" s="180" t="str">
        <f t="shared" si="49"/>
        <v>OK</v>
      </c>
      <c r="P155" s="180" t="str">
        <f t="shared" si="49"/>
        <v>OK</v>
      </c>
      <c r="Q155" s="180" t="str">
        <f t="shared" si="49"/>
        <v>OK</v>
      </c>
      <c r="R155" s="180" t="str">
        <f t="shared" si="49"/>
        <v>OK</v>
      </c>
      <c r="S155" s="180" t="e">
        <f t="shared" si="49"/>
        <v>#REF!</v>
      </c>
      <c r="T155" s="180" t="e">
        <f t="shared" si="49"/>
        <v>#REF!</v>
      </c>
      <c r="U155" s="180" t="e">
        <f t="shared" si="49"/>
        <v>#REF!</v>
      </c>
      <c r="V155" s="180" t="e">
        <f t="shared" si="49"/>
        <v>#REF!</v>
      </c>
      <c r="W155" s="180" t="e">
        <f t="shared" si="49"/>
        <v>#REF!</v>
      </c>
      <c r="X155" s="180" t="e">
        <f t="shared" si="49"/>
        <v>#REF!</v>
      </c>
      <c r="Y155" s="180" t="e">
        <f t="shared" si="49"/>
        <v>#REF!</v>
      </c>
      <c r="Z155" s="180" t="e">
        <f t="shared" si="49"/>
        <v>#REF!</v>
      </c>
      <c r="AA155" s="180" t="e">
        <f t="shared" si="49"/>
        <v>#REF!</v>
      </c>
      <c r="AB155" s="180" t="e">
        <f t="shared" si="49"/>
        <v>#REF!</v>
      </c>
      <c r="AC155" s="180" t="e">
        <f t="shared" si="49"/>
        <v>#REF!</v>
      </c>
      <c r="AD155" s="180" t="e">
        <f t="shared" si="49"/>
        <v>#REF!</v>
      </c>
      <c r="AE155" s="180" t="e">
        <f t="shared" si="49"/>
        <v>#REF!</v>
      </c>
      <c r="AF155" s="180" t="e">
        <f t="shared" si="49"/>
        <v>#REF!</v>
      </c>
      <c r="AG155" s="180" t="e">
        <f t="shared" si="49"/>
        <v>#REF!</v>
      </c>
      <c r="AH155" s="180" t="e">
        <f t="shared" si="49"/>
        <v>#REF!</v>
      </c>
      <c r="AI155" s="180" t="e">
        <f t="shared" si="49"/>
        <v>#REF!</v>
      </c>
      <c r="AJ155" s="180" t="e">
        <f t="shared" si="49"/>
        <v>#REF!</v>
      </c>
      <c r="AK155" s="180" t="e">
        <f t="shared" si="49"/>
        <v>#REF!</v>
      </c>
      <c r="AL155" s="181" t="e">
        <f t="shared" si="49"/>
        <v>#REF!</v>
      </c>
    </row>
    <row r="156" spans="1:38" s="237" customFormat="1" ht="14.25" outlineLevel="2">
      <c r="A156" s="243"/>
      <c r="B156" s="241"/>
      <c r="C156" s="242" t="s">
        <v>224</v>
      </c>
      <c r="D156" s="239" t="s">
        <v>400</v>
      </c>
      <c r="E156" s="244" t="s">
        <v>28</v>
      </c>
      <c r="F156" s="245" t="s">
        <v>28</v>
      </c>
      <c r="G156" s="245" t="s">
        <v>28</v>
      </c>
      <c r="H156" s="246" t="s">
        <v>28</v>
      </c>
      <c r="I156" s="187" t="str">
        <f>IF(I89&gt;=I90,"OK","BŁĄD")</f>
        <v>OK</v>
      </c>
      <c r="J156" s="180" t="str">
        <f aca="true" t="shared" si="50" ref="J156:AL156">IF(J89&gt;=J90,"OK","BŁĄD")</f>
        <v>OK</v>
      </c>
      <c r="K156" s="180" t="str">
        <f t="shared" si="50"/>
        <v>OK</v>
      </c>
      <c r="L156" s="180" t="str">
        <f t="shared" si="50"/>
        <v>OK</v>
      </c>
      <c r="M156" s="180" t="str">
        <f t="shared" si="50"/>
        <v>OK</v>
      </c>
      <c r="N156" s="180" t="str">
        <f t="shared" si="50"/>
        <v>OK</v>
      </c>
      <c r="O156" s="180" t="str">
        <f t="shared" si="50"/>
        <v>OK</v>
      </c>
      <c r="P156" s="180" t="str">
        <f t="shared" si="50"/>
        <v>OK</v>
      </c>
      <c r="Q156" s="180" t="str">
        <f t="shared" si="50"/>
        <v>OK</v>
      </c>
      <c r="R156" s="180" t="str">
        <f t="shared" si="50"/>
        <v>OK</v>
      </c>
      <c r="S156" s="180" t="e">
        <f t="shared" si="50"/>
        <v>#REF!</v>
      </c>
      <c r="T156" s="180" t="e">
        <f t="shared" si="50"/>
        <v>#REF!</v>
      </c>
      <c r="U156" s="180" t="e">
        <f t="shared" si="50"/>
        <v>#REF!</v>
      </c>
      <c r="V156" s="180" t="e">
        <f t="shared" si="50"/>
        <v>#REF!</v>
      </c>
      <c r="W156" s="180" t="e">
        <f t="shared" si="50"/>
        <v>#REF!</v>
      </c>
      <c r="X156" s="180" t="e">
        <f t="shared" si="50"/>
        <v>#REF!</v>
      </c>
      <c r="Y156" s="180" t="e">
        <f t="shared" si="50"/>
        <v>#REF!</v>
      </c>
      <c r="Z156" s="180" t="e">
        <f t="shared" si="50"/>
        <v>#REF!</v>
      </c>
      <c r="AA156" s="180" t="e">
        <f t="shared" si="50"/>
        <v>#REF!</v>
      </c>
      <c r="AB156" s="180" t="e">
        <f t="shared" si="50"/>
        <v>#REF!</v>
      </c>
      <c r="AC156" s="180" t="e">
        <f t="shared" si="50"/>
        <v>#REF!</v>
      </c>
      <c r="AD156" s="180" t="e">
        <f t="shared" si="50"/>
        <v>#REF!</v>
      </c>
      <c r="AE156" s="180" t="e">
        <f t="shared" si="50"/>
        <v>#REF!</v>
      </c>
      <c r="AF156" s="180" t="e">
        <f t="shared" si="50"/>
        <v>#REF!</v>
      </c>
      <c r="AG156" s="180" t="e">
        <f t="shared" si="50"/>
        <v>#REF!</v>
      </c>
      <c r="AH156" s="180" t="e">
        <f t="shared" si="50"/>
        <v>#REF!</v>
      </c>
      <c r="AI156" s="180" t="e">
        <f t="shared" si="50"/>
        <v>#REF!</v>
      </c>
      <c r="AJ156" s="180" t="e">
        <f t="shared" si="50"/>
        <v>#REF!</v>
      </c>
      <c r="AK156" s="180" t="e">
        <f t="shared" si="50"/>
        <v>#REF!</v>
      </c>
      <c r="AL156" s="181" t="e">
        <f t="shared" si="50"/>
        <v>#REF!</v>
      </c>
    </row>
    <row r="157" spans="1:38" s="237" customFormat="1" ht="14.25" outlineLevel="2">
      <c r="A157" s="243"/>
      <c r="B157" s="241"/>
      <c r="C157" s="242" t="s">
        <v>224</v>
      </c>
      <c r="D157" s="239" t="s">
        <v>401</v>
      </c>
      <c r="E157" s="244" t="s">
        <v>28</v>
      </c>
      <c r="F157" s="245" t="s">
        <v>28</v>
      </c>
      <c r="G157" s="245" t="s">
        <v>28</v>
      </c>
      <c r="H157" s="246" t="s">
        <v>28</v>
      </c>
      <c r="I157" s="187" t="str">
        <f>IF(I91&gt;=I92,"OK","BŁĄD")</f>
        <v>OK</v>
      </c>
      <c r="J157" s="180" t="str">
        <f aca="true" t="shared" si="51" ref="J157:AL157">IF(J91&gt;=J92,"OK","BŁĄD")</f>
        <v>OK</v>
      </c>
      <c r="K157" s="180" t="str">
        <f t="shared" si="51"/>
        <v>OK</v>
      </c>
      <c r="L157" s="180" t="str">
        <f t="shared" si="51"/>
        <v>OK</v>
      </c>
      <c r="M157" s="180" t="str">
        <f t="shared" si="51"/>
        <v>OK</v>
      </c>
      <c r="N157" s="180" t="str">
        <f t="shared" si="51"/>
        <v>OK</v>
      </c>
      <c r="O157" s="180" t="str">
        <f t="shared" si="51"/>
        <v>OK</v>
      </c>
      <c r="P157" s="180" t="str">
        <f t="shared" si="51"/>
        <v>OK</v>
      </c>
      <c r="Q157" s="180" t="str">
        <f t="shared" si="51"/>
        <v>OK</v>
      </c>
      <c r="R157" s="180" t="str">
        <f t="shared" si="51"/>
        <v>OK</v>
      </c>
      <c r="S157" s="180" t="e">
        <f t="shared" si="51"/>
        <v>#REF!</v>
      </c>
      <c r="T157" s="180" t="e">
        <f t="shared" si="51"/>
        <v>#REF!</v>
      </c>
      <c r="U157" s="180" t="e">
        <f t="shared" si="51"/>
        <v>#REF!</v>
      </c>
      <c r="V157" s="180" t="e">
        <f t="shared" si="51"/>
        <v>#REF!</v>
      </c>
      <c r="W157" s="180" t="e">
        <f t="shared" si="51"/>
        <v>#REF!</v>
      </c>
      <c r="X157" s="180" t="e">
        <f t="shared" si="51"/>
        <v>#REF!</v>
      </c>
      <c r="Y157" s="180" t="e">
        <f t="shared" si="51"/>
        <v>#REF!</v>
      </c>
      <c r="Z157" s="180" t="e">
        <f t="shared" si="51"/>
        <v>#REF!</v>
      </c>
      <c r="AA157" s="180" t="e">
        <f t="shared" si="51"/>
        <v>#REF!</v>
      </c>
      <c r="AB157" s="180" t="e">
        <f t="shared" si="51"/>
        <v>#REF!</v>
      </c>
      <c r="AC157" s="180" t="e">
        <f t="shared" si="51"/>
        <v>#REF!</v>
      </c>
      <c r="AD157" s="180" t="e">
        <f t="shared" si="51"/>
        <v>#REF!</v>
      </c>
      <c r="AE157" s="180" t="e">
        <f t="shared" si="51"/>
        <v>#REF!</v>
      </c>
      <c r="AF157" s="180" t="e">
        <f t="shared" si="51"/>
        <v>#REF!</v>
      </c>
      <c r="AG157" s="180" t="e">
        <f t="shared" si="51"/>
        <v>#REF!</v>
      </c>
      <c r="AH157" s="180" t="e">
        <f t="shared" si="51"/>
        <v>#REF!</v>
      </c>
      <c r="AI157" s="180" t="e">
        <f t="shared" si="51"/>
        <v>#REF!</v>
      </c>
      <c r="AJ157" s="180" t="e">
        <f t="shared" si="51"/>
        <v>#REF!</v>
      </c>
      <c r="AK157" s="180" t="e">
        <f t="shared" si="51"/>
        <v>#REF!</v>
      </c>
      <c r="AL157" s="181" t="e">
        <f t="shared" si="51"/>
        <v>#REF!</v>
      </c>
    </row>
    <row r="158" spans="1:38" s="237" customFormat="1" ht="14.25" outlineLevel="2">
      <c r="A158" s="243"/>
      <c r="B158" s="241"/>
      <c r="C158" s="242" t="s">
        <v>224</v>
      </c>
      <c r="D158" s="239" t="s">
        <v>402</v>
      </c>
      <c r="E158" s="244" t="s">
        <v>28</v>
      </c>
      <c r="F158" s="245" t="s">
        <v>28</v>
      </c>
      <c r="G158" s="245" t="s">
        <v>28</v>
      </c>
      <c r="H158" s="246" t="s">
        <v>28</v>
      </c>
      <c r="I158" s="187" t="str">
        <f>IF(I93&gt;=I94,"OK","BŁĄD")</f>
        <v>OK</v>
      </c>
      <c r="J158" s="180" t="str">
        <f aca="true" t="shared" si="52" ref="J158:AL158">IF(J93&gt;=J94,"OK","BŁĄD")</f>
        <v>OK</v>
      </c>
      <c r="K158" s="180" t="str">
        <f t="shared" si="52"/>
        <v>OK</v>
      </c>
      <c r="L158" s="180" t="str">
        <f t="shared" si="52"/>
        <v>OK</v>
      </c>
      <c r="M158" s="180" t="str">
        <f t="shared" si="52"/>
        <v>OK</v>
      </c>
      <c r="N158" s="180" t="str">
        <f t="shared" si="52"/>
        <v>OK</v>
      </c>
      <c r="O158" s="180" t="str">
        <f t="shared" si="52"/>
        <v>OK</v>
      </c>
      <c r="P158" s="180" t="str">
        <f t="shared" si="52"/>
        <v>OK</v>
      </c>
      <c r="Q158" s="180" t="str">
        <f t="shared" si="52"/>
        <v>OK</v>
      </c>
      <c r="R158" s="180" t="str">
        <f t="shared" si="52"/>
        <v>OK</v>
      </c>
      <c r="S158" s="180" t="e">
        <f t="shared" si="52"/>
        <v>#REF!</v>
      </c>
      <c r="T158" s="180" t="e">
        <f t="shared" si="52"/>
        <v>#REF!</v>
      </c>
      <c r="U158" s="180" t="e">
        <f t="shared" si="52"/>
        <v>#REF!</v>
      </c>
      <c r="V158" s="180" t="e">
        <f t="shared" si="52"/>
        <v>#REF!</v>
      </c>
      <c r="W158" s="180" t="e">
        <f t="shared" si="52"/>
        <v>#REF!</v>
      </c>
      <c r="X158" s="180" t="e">
        <f t="shared" si="52"/>
        <v>#REF!</v>
      </c>
      <c r="Y158" s="180" t="e">
        <f t="shared" si="52"/>
        <v>#REF!</v>
      </c>
      <c r="Z158" s="180" t="e">
        <f t="shared" si="52"/>
        <v>#REF!</v>
      </c>
      <c r="AA158" s="180" t="e">
        <f t="shared" si="52"/>
        <v>#REF!</v>
      </c>
      <c r="AB158" s="180" t="e">
        <f t="shared" si="52"/>
        <v>#REF!</v>
      </c>
      <c r="AC158" s="180" t="e">
        <f t="shared" si="52"/>
        <v>#REF!</v>
      </c>
      <c r="AD158" s="180" t="e">
        <f t="shared" si="52"/>
        <v>#REF!</v>
      </c>
      <c r="AE158" s="180" t="e">
        <f t="shared" si="52"/>
        <v>#REF!</v>
      </c>
      <c r="AF158" s="180" t="e">
        <f t="shared" si="52"/>
        <v>#REF!</v>
      </c>
      <c r="AG158" s="180" t="e">
        <f t="shared" si="52"/>
        <v>#REF!</v>
      </c>
      <c r="AH158" s="180" t="e">
        <f t="shared" si="52"/>
        <v>#REF!</v>
      </c>
      <c r="AI158" s="180" t="e">
        <f t="shared" si="52"/>
        <v>#REF!</v>
      </c>
      <c r="AJ158" s="180" t="e">
        <f t="shared" si="52"/>
        <v>#REF!</v>
      </c>
      <c r="AK158" s="180" t="e">
        <f t="shared" si="52"/>
        <v>#REF!</v>
      </c>
      <c r="AL158" s="181" t="e">
        <f t="shared" si="52"/>
        <v>#REF!</v>
      </c>
    </row>
    <row r="159" spans="1:38" s="45" customFormat="1" ht="14.25" outlineLevel="2">
      <c r="A159" s="213"/>
      <c r="B159" s="206"/>
      <c r="C159" s="242" t="s">
        <v>226</v>
      </c>
      <c r="D159" s="239" t="s">
        <v>274</v>
      </c>
      <c r="E159" s="225" t="s">
        <v>28</v>
      </c>
      <c r="F159" s="226" t="s">
        <v>28</v>
      </c>
      <c r="G159" s="226" t="s">
        <v>28</v>
      </c>
      <c r="H159" s="227" t="s">
        <v>28</v>
      </c>
      <c r="I159" s="187" t="e">
        <f aca="true" t="shared" si="53" ref="I159:AL159">IF(I96&gt;=I98,"OK","BŁĄD")</f>
        <v>#REF!</v>
      </c>
      <c r="J159" s="180" t="e">
        <f t="shared" si="53"/>
        <v>#REF!</v>
      </c>
      <c r="K159" s="180" t="e">
        <f t="shared" si="53"/>
        <v>#REF!</v>
      </c>
      <c r="L159" s="180" t="e">
        <f t="shared" si="53"/>
        <v>#REF!</v>
      </c>
      <c r="M159" s="180" t="e">
        <f t="shared" si="53"/>
        <v>#REF!</v>
      </c>
      <c r="N159" s="180" t="e">
        <f t="shared" si="53"/>
        <v>#REF!</v>
      </c>
      <c r="O159" s="180" t="e">
        <f t="shared" si="53"/>
        <v>#REF!</v>
      </c>
      <c r="P159" s="180" t="e">
        <f t="shared" si="53"/>
        <v>#REF!</v>
      </c>
      <c r="Q159" s="180" t="e">
        <f t="shared" si="53"/>
        <v>#REF!</v>
      </c>
      <c r="R159" s="180" t="e">
        <f t="shared" si="53"/>
        <v>#REF!</v>
      </c>
      <c r="S159" s="180" t="e">
        <f t="shared" si="53"/>
        <v>#REF!</v>
      </c>
      <c r="T159" s="180" t="e">
        <f t="shared" si="53"/>
        <v>#REF!</v>
      </c>
      <c r="U159" s="180" t="e">
        <f t="shared" si="53"/>
        <v>#REF!</v>
      </c>
      <c r="V159" s="180" t="e">
        <f t="shared" si="53"/>
        <v>#REF!</v>
      </c>
      <c r="W159" s="180" t="e">
        <f t="shared" si="53"/>
        <v>#REF!</v>
      </c>
      <c r="X159" s="180" t="e">
        <f t="shared" si="53"/>
        <v>#REF!</v>
      </c>
      <c r="Y159" s="180" t="e">
        <f t="shared" si="53"/>
        <v>#REF!</v>
      </c>
      <c r="Z159" s="180" t="e">
        <f t="shared" si="53"/>
        <v>#REF!</v>
      </c>
      <c r="AA159" s="180" t="e">
        <f t="shared" si="53"/>
        <v>#REF!</v>
      </c>
      <c r="AB159" s="180" t="e">
        <f t="shared" si="53"/>
        <v>#REF!</v>
      </c>
      <c r="AC159" s="180" t="e">
        <f t="shared" si="53"/>
        <v>#REF!</v>
      </c>
      <c r="AD159" s="180" t="e">
        <f t="shared" si="53"/>
        <v>#REF!</v>
      </c>
      <c r="AE159" s="180" t="e">
        <f t="shared" si="53"/>
        <v>#REF!</v>
      </c>
      <c r="AF159" s="180" t="e">
        <f t="shared" si="53"/>
        <v>#REF!</v>
      </c>
      <c r="AG159" s="180" t="e">
        <f t="shared" si="53"/>
        <v>#REF!</v>
      </c>
      <c r="AH159" s="180" t="e">
        <f t="shared" si="53"/>
        <v>#REF!</v>
      </c>
      <c r="AI159" s="180" t="e">
        <f t="shared" si="53"/>
        <v>#REF!</v>
      </c>
      <c r="AJ159" s="180" t="e">
        <f t="shared" si="53"/>
        <v>#REF!</v>
      </c>
      <c r="AK159" s="180" t="e">
        <f t="shared" si="53"/>
        <v>#REF!</v>
      </c>
      <c r="AL159" s="181" t="e">
        <f t="shared" si="53"/>
        <v>#REF!</v>
      </c>
    </row>
    <row r="160" spans="1:38" s="45" customFormat="1" ht="14.25" outlineLevel="2">
      <c r="A160" s="213"/>
      <c r="B160" s="206"/>
      <c r="C160" s="242" t="s">
        <v>227</v>
      </c>
      <c r="D160" s="49" t="s">
        <v>275</v>
      </c>
      <c r="E160" s="225" t="s">
        <v>28</v>
      </c>
      <c r="F160" s="226" t="s">
        <v>28</v>
      </c>
      <c r="G160" s="226" t="s">
        <v>28</v>
      </c>
      <c r="H160" s="227" t="s">
        <v>28</v>
      </c>
      <c r="I160" s="187" t="str">
        <f aca="true" t="shared" si="54" ref="I160:AL160">IF(I99&gt;=I25,"OK","BŁĄD")</f>
        <v>OK</v>
      </c>
      <c r="J160" s="180" t="str">
        <f t="shared" si="54"/>
        <v>OK</v>
      </c>
      <c r="K160" s="180" t="str">
        <f t="shared" si="54"/>
        <v>OK</v>
      </c>
      <c r="L160" s="180" t="str">
        <f t="shared" si="54"/>
        <v>OK</v>
      </c>
      <c r="M160" s="180" t="str">
        <f t="shared" si="54"/>
        <v>OK</v>
      </c>
      <c r="N160" s="180" t="str">
        <f t="shared" si="54"/>
        <v>OK</v>
      </c>
      <c r="O160" s="180" t="str">
        <f t="shared" si="54"/>
        <v>OK</v>
      </c>
      <c r="P160" s="180" t="str">
        <f t="shared" si="54"/>
        <v>OK</v>
      </c>
      <c r="Q160" s="180" t="str">
        <f t="shared" si="54"/>
        <v>OK</v>
      </c>
      <c r="R160" s="180" t="str">
        <f t="shared" si="54"/>
        <v>OK</v>
      </c>
      <c r="S160" s="180" t="e">
        <f t="shared" si="54"/>
        <v>#REF!</v>
      </c>
      <c r="T160" s="180" t="e">
        <f t="shared" si="54"/>
        <v>#REF!</v>
      </c>
      <c r="U160" s="180" t="e">
        <f t="shared" si="54"/>
        <v>#REF!</v>
      </c>
      <c r="V160" s="180" t="e">
        <f t="shared" si="54"/>
        <v>#REF!</v>
      </c>
      <c r="W160" s="180" t="e">
        <f t="shared" si="54"/>
        <v>#REF!</v>
      </c>
      <c r="X160" s="180" t="e">
        <f t="shared" si="54"/>
        <v>#REF!</v>
      </c>
      <c r="Y160" s="180" t="e">
        <f t="shared" si="54"/>
        <v>#REF!</v>
      </c>
      <c r="Z160" s="180" t="e">
        <f t="shared" si="54"/>
        <v>#REF!</v>
      </c>
      <c r="AA160" s="180" t="e">
        <f t="shared" si="54"/>
        <v>#REF!</v>
      </c>
      <c r="AB160" s="180" t="e">
        <f t="shared" si="54"/>
        <v>#REF!</v>
      </c>
      <c r="AC160" s="180" t="e">
        <f t="shared" si="54"/>
        <v>#REF!</v>
      </c>
      <c r="AD160" s="180" t="e">
        <f t="shared" si="54"/>
        <v>#REF!</v>
      </c>
      <c r="AE160" s="180" t="e">
        <f t="shared" si="54"/>
        <v>#REF!</v>
      </c>
      <c r="AF160" s="180" t="e">
        <f t="shared" si="54"/>
        <v>#REF!</v>
      </c>
      <c r="AG160" s="180" t="e">
        <f t="shared" si="54"/>
        <v>#REF!</v>
      </c>
      <c r="AH160" s="180" t="e">
        <f t="shared" si="54"/>
        <v>#REF!</v>
      </c>
      <c r="AI160" s="180" t="e">
        <f t="shared" si="54"/>
        <v>#REF!</v>
      </c>
      <c r="AJ160" s="180" t="e">
        <f t="shared" si="54"/>
        <v>#REF!</v>
      </c>
      <c r="AK160" s="180" t="e">
        <f t="shared" si="54"/>
        <v>#REF!</v>
      </c>
      <c r="AL160" s="181" t="e">
        <f t="shared" si="54"/>
        <v>#REF!</v>
      </c>
    </row>
    <row r="161" spans="1:38" s="45" customFormat="1" ht="14.25" outlineLevel="2">
      <c r="A161" s="213"/>
      <c r="B161" s="206"/>
      <c r="C161" s="242" t="s">
        <v>228</v>
      </c>
      <c r="D161" s="49" t="s">
        <v>276</v>
      </c>
      <c r="E161" s="225" t="s">
        <v>28</v>
      </c>
      <c r="F161" s="226" t="s">
        <v>28</v>
      </c>
      <c r="G161" s="226" t="s">
        <v>28</v>
      </c>
      <c r="H161" s="227" t="s">
        <v>28</v>
      </c>
      <c r="I161" s="187" t="str">
        <f aca="true" t="shared" si="55" ref="I161:AL161">IF(I106&gt;=(I107+I108+I109),"OK","BŁĄD")</f>
        <v>OK</v>
      </c>
      <c r="J161" s="180" t="str">
        <f t="shared" si="55"/>
        <v>OK</v>
      </c>
      <c r="K161" s="180" t="str">
        <f t="shared" si="55"/>
        <v>OK</v>
      </c>
      <c r="L161" s="180" t="str">
        <f t="shared" si="55"/>
        <v>OK</v>
      </c>
      <c r="M161" s="180" t="str">
        <f t="shared" si="55"/>
        <v>OK</v>
      </c>
      <c r="N161" s="180" t="str">
        <f t="shared" si="55"/>
        <v>OK</v>
      </c>
      <c r="O161" s="180" t="str">
        <f t="shared" si="55"/>
        <v>OK</v>
      </c>
      <c r="P161" s="180" t="str">
        <f t="shared" si="55"/>
        <v>OK</v>
      </c>
      <c r="Q161" s="180" t="str">
        <f t="shared" si="55"/>
        <v>OK</v>
      </c>
      <c r="R161" s="180" t="str">
        <f t="shared" si="55"/>
        <v>OK</v>
      </c>
      <c r="S161" s="180" t="e">
        <f t="shared" si="55"/>
        <v>#REF!</v>
      </c>
      <c r="T161" s="180" t="e">
        <f t="shared" si="55"/>
        <v>#REF!</v>
      </c>
      <c r="U161" s="180" t="e">
        <f t="shared" si="55"/>
        <v>#REF!</v>
      </c>
      <c r="V161" s="180" t="e">
        <f t="shared" si="55"/>
        <v>#REF!</v>
      </c>
      <c r="W161" s="180" t="e">
        <f t="shared" si="55"/>
        <v>#REF!</v>
      </c>
      <c r="X161" s="180" t="e">
        <f t="shared" si="55"/>
        <v>#REF!</v>
      </c>
      <c r="Y161" s="180" t="e">
        <f t="shared" si="55"/>
        <v>#REF!</v>
      </c>
      <c r="Z161" s="180" t="e">
        <f t="shared" si="55"/>
        <v>#REF!</v>
      </c>
      <c r="AA161" s="180" t="e">
        <f t="shared" si="55"/>
        <v>#REF!</v>
      </c>
      <c r="AB161" s="180" t="e">
        <f t="shared" si="55"/>
        <v>#REF!</v>
      </c>
      <c r="AC161" s="180" t="e">
        <f t="shared" si="55"/>
        <v>#REF!</v>
      </c>
      <c r="AD161" s="180" t="e">
        <f t="shared" si="55"/>
        <v>#REF!</v>
      </c>
      <c r="AE161" s="180" t="e">
        <f t="shared" si="55"/>
        <v>#REF!</v>
      </c>
      <c r="AF161" s="180" t="e">
        <f t="shared" si="55"/>
        <v>#REF!</v>
      </c>
      <c r="AG161" s="180" t="e">
        <f t="shared" si="55"/>
        <v>#REF!</v>
      </c>
      <c r="AH161" s="180" t="e">
        <f t="shared" si="55"/>
        <v>#REF!</v>
      </c>
      <c r="AI161" s="180" t="e">
        <f t="shared" si="55"/>
        <v>#REF!</v>
      </c>
      <c r="AJ161" s="180" t="e">
        <f t="shared" si="55"/>
        <v>#REF!</v>
      </c>
      <c r="AK161" s="180" t="e">
        <f t="shared" si="55"/>
        <v>#REF!</v>
      </c>
      <c r="AL161" s="181" t="e">
        <f t="shared" si="55"/>
        <v>#REF!</v>
      </c>
    </row>
    <row r="162" spans="1:38" s="237" customFormat="1" ht="14.25" outlineLevel="2">
      <c r="A162" s="243"/>
      <c r="B162" s="241"/>
      <c r="C162" s="242" t="s">
        <v>226</v>
      </c>
      <c r="D162" s="239" t="s">
        <v>404</v>
      </c>
      <c r="E162" s="244" t="s">
        <v>28</v>
      </c>
      <c r="F162" s="245" t="s">
        <v>28</v>
      </c>
      <c r="G162" s="245" t="s">
        <v>28</v>
      </c>
      <c r="H162" s="246" t="s">
        <v>28</v>
      </c>
      <c r="I162" s="187" t="str">
        <f>IF(I112&gt;=I113,"OK","BŁĄD")</f>
        <v>OK</v>
      </c>
      <c r="J162" s="180" t="str">
        <f aca="true" t="shared" si="56" ref="J162:AL162">IF(J112&gt;=J113,"OK","BŁĄD")</f>
        <v>OK</v>
      </c>
      <c r="K162" s="180" t="str">
        <f t="shared" si="56"/>
        <v>OK</v>
      </c>
      <c r="L162" s="180" t="str">
        <f t="shared" si="56"/>
        <v>OK</v>
      </c>
      <c r="M162" s="180" t="str">
        <f t="shared" si="56"/>
        <v>OK</v>
      </c>
      <c r="N162" s="180" t="str">
        <f t="shared" si="56"/>
        <v>OK</v>
      </c>
      <c r="O162" s="180" t="str">
        <f t="shared" si="56"/>
        <v>OK</v>
      </c>
      <c r="P162" s="180" t="str">
        <f t="shared" si="56"/>
        <v>OK</v>
      </c>
      <c r="Q162" s="180" t="str">
        <f t="shared" si="56"/>
        <v>OK</v>
      </c>
      <c r="R162" s="180" t="str">
        <f t="shared" si="56"/>
        <v>OK</v>
      </c>
      <c r="S162" s="180" t="e">
        <f t="shared" si="56"/>
        <v>#REF!</v>
      </c>
      <c r="T162" s="180" t="e">
        <f t="shared" si="56"/>
        <v>#REF!</v>
      </c>
      <c r="U162" s="180" t="e">
        <f t="shared" si="56"/>
        <v>#REF!</v>
      </c>
      <c r="V162" s="180" t="e">
        <f t="shared" si="56"/>
        <v>#REF!</v>
      </c>
      <c r="W162" s="180" t="e">
        <f t="shared" si="56"/>
        <v>#REF!</v>
      </c>
      <c r="X162" s="180" t="e">
        <f t="shared" si="56"/>
        <v>#REF!</v>
      </c>
      <c r="Y162" s="180" t="e">
        <f t="shared" si="56"/>
        <v>#REF!</v>
      </c>
      <c r="Z162" s="180" t="e">
        <f t="shared" si="56"/>
        <v>#REF!</v>
      </c>
      <c r="AA162" s="180" t="e">
        <f t="shared" si="56"/>
        <v>#REF!</v>
      </c>
      <c r="AB162" s="180" t="e">
        <f t="shared" si="56"/>
        <v>#REF!</v>
      </c>
      <c r="AC162" s="180" t="e">
        <f t="shared" si="56"/>
        <v>#REF!</v>
      </c>
      <c r="AD162" s="180" t="e">
        <f t="shared" si="56"/>
        <v>#REF!</v>
      </c>
      <c r="AE162" s="180" t="e">
        <f t="shared" si="56"/>
        <v>#REF!</v>
      </c>
      <c r="AF162" s="180" t="e">
        <f t="shared" si="56"/>
        <v>#REF!</v>
      </c>
      <c r="AG162" s="180" t="e">
        <f t="shared" si="56"/>
        <v>#REF!</v>
      </c>
      <c r="AH162" s="180" t="e">
        <f t="shared" si="56"/>
        <v>#REF!</v>
      </c>
      <c r="AI162" s="180" t="e">
        <f t="shared" si="56"/>
        <v>#REF!</v>
      </c>
      <c r="AJ162" s="180" t="e">
        <f t="shared" si="56"/>
        <v>#REF!</v>
      </c>
      <c r="AK162" s="180" t="e">
        <f t="shared" si="56"/>
        <v>#REF!</v>
      </c>
      <c r="AL162" s="181" t="e">
        <f t="shared" si="56"/>
        <v>#REF!</v>
      </c>
    </row>
    <row r="163" spans="1:38" s="45" customFormat="1" ht="14.25" outlineLevel="2">
      <c r="A163" s="213"/>
      <c r="B163" s="206"/>
      <c r="C163" s="242" t="s">
        <v>230</v>
      </c>
      <c r="D163" s="49" t="s">
        <v>278</v>
      </c>
      <c r="E163" s="225" t="s">
        <v>28</v>
      </c>
      <c r="F163" s="226" t="s">
        <v>28</v>
      </c>
      <c r="G163" s="226" t="s">
        <v>28</v>
      </c>
      <c r="H163" s="227" t="s">
        <v>28</v>
      </c>
      <c r="I163" s="187" t="str">
        <f aca="true" t="shared" si="57" ref="I163:AL163">IF(I23&gt;=I24,"OK","BŁĄD")</f>
        <v>OK</v>
      </c>
      <c r="J163" s="180" t="str">
        <f t="shared" si="57"/>
        <v>OK</v>
      </c>
      <c r="K163" s="180" t="str">
        <f t="shared" si="57"/>
        <v>OK</v>
      </c>
      <c r="L163" s="180" t="str">
        <f t="shared" si="57"/>
        <v>OK</v>
      </c>
      <c r="M163" s="180" t="str">
        <f t="shared" si="57"/>
        <v>OK</v>
      </c>
      <c r="N163" s="180" t="str">
        <f t="shared" si="57"/>
        <v>OK</v>
      </c>
      <c r="O163" s="180" t="str">
        <f t="shared" si="57"/>
        <v>OK</v>
      </c>
      <c r="P163" s="180" t="str">
        <f t="shared" si="57"/>
        <v>OK</v>
      </c>
      <c r="Q163" s="180" t="str">
        <f t="shared" si="57"/>
        <v>OK</v>
      </c>
      <c r="R163" s="180" t="str">
        <f t="shared" si="57"/>
        <v>OK</v>
      </c>
      <c r="S163" s="180" t="e">
        <f t="shared" si="57"/>
        <v>#REF!</v>
      </c>
      <c r="T163" s="180" t="e">
        <f t="shared" si="57"/>
        <v>#REF!</v>
      </c>
      <c r="U163" s="180" t="e">
        <f t="shared" si="57"/>
        <v>#REF!</v>
      </c>
      <c r="V163" s="180" t="e">
        <f t="shared" si="57"/>
        <v>#REF!</v>
      </c>
      <c r="W163" s="180" t="e">
        <f t="shared" si="57"/>
        <v>#REF!</v>
      </c>
      <c r="X163" s="180" t="e">
        <f t="shared" si="57"/>
        <v>#REF!</v>
      </c>
      <c r="Y163" s="180" t="e">
        <f t="shared" si="57"/>
        <v>#REF!</v>
      </c>
      <c r="Z163" s="180" t="e">
        <f t="shared" si="57"/>
        <v>#REF!</v>
      </c>
      <c r="AA163" s="180" t="e">
        <f t="shared" si="57"/>
        <v>#REF!</v>
      </c>
      <c r="AB163" s="180" t="e">
        <f t="shared" si="57"/>
        <v>#REF!</v>
      </c>
      <c r="AC163" s="180" t="e">
        <f t="shared" si="57"/>
        <v>#REF!</v>
      </c>
      <c r="AD163" s="180" t="e">
        <f t="shared" si="57"/>
        <v>#REF!</v>
      </c>
      <c r="AE163" s="180" t="e">
        <f t="shared" si="57"/>
        <v>#REF!</v>
      </c>
      <c r="AF163" s="180" t="e">
        <f t="shared" si="57"/>
        <v>#REF!</v>
      </c>
      <c r="AG163" s="180" t="e">
        <f t="shared" si="57"/>
        <v>#REF!</v>
      </c>
      <c r="AH163" s="180" t="e">
        <f t="shared" si="57"/>
        <v>#REF!</v>
      </c>
      <c r="AI163" s="180" t="e">
        <f t="shared" si="57"/>
        <v>#REF!</v>
      </c>
      <c r="AJ163" s="180" t="e">
        <f t="shared" si="57"/>
        <v>#REF!</v>
      </c>
      <c r="AK163" s="180" t="e">
        <f t="shared" si="57"/>
        <v>#REF!</v>
      </c>
      <c r="AL163" s="181" t="e">
        <f t="shared" si="57"/>
        <v>#REF!</v>
      </c>
    </row>
    <row r="164" spans="1:38" s="45" customFormat="1" ht="14.25" outlineLevel="2">
      <c r="A164" s="213"/>
      <c r="B164" s="206"/>
      <c r="C164" s="242" t="s">
        <v>229</v>
      </c>
      <c r="D164" s="49" t="s">
        <v>277</v>
      </c>
      <c r="E164" s="225" t="s">
        <v>28</v>
      </c>
      <c r="F164" s="226" t="s">
        <v>28</v>
      </c>
      <c r="G164" s="226" t="s">
        <v>28</v>
      </c>
      <c r="H164" s="227" t="s">
        <v>28</v>
      </c>
      <c r="I164" s="187" t="str">
        <f aca="true" t="shared" si="58" ref="I164:AL164">IF(I23&gt;=I109,"OK","BŁĄD")</f>
        <v>OK</v>
      </c>
      <c r="J164" s="180" t="str">
        <f t="shared" si="58"/>
        <v>OK</v>
      </c>
      <c r="K164" s="180" t="str">
        <f t="shared" si="58"/>
        <v>OK</v>
      </c>
      <c r="L164" s="180" t="str">
        <f t="shared" si="58"/>
        <v>OK</v>
      </c>
      <c r="M164" s="180" t="str">
        <f t="shared" si="58"/>
        <v>OK</v>
      </c>
      <c r="N164" s="180" t="str">
        <f t="shared" si="58"/>
        <v>OK</v>
      </c>
      <c r="O164" s="180" t="str">
        <f t="shared" si="58"/>
        <v>OK</v>
      </c>
      <c r="P164" s="180" t="str">
        <f t="shared" si="58"/>
        <v>OK</v>
      </c>
      <c r="Q164" s="180" t="str">
        <f t="shared" si="58"/>
        <v>OK</v>
      </c>
      <c r="R164" s="180" t="str">
        <f t="shared" si="58"/>
        <v>OK</v>
      </c>
      <c r="S164" s="180" t="e">
        <f t="shared" si="58"/>
        <v>#REF!</v>
      </c>
      <c r="T164" s="180" t="e">
        <f t="shared" si="58"/>
        <v>#REF!</v>
      </c>
      <c r="U164" s="180" t="e">
        <f t="shared" si="58"/>
        <v>#REF!</v>
      </c>
      <c r="V164" s="180" t="e">
        <f t="shared" si="58"/>
        <v>#REF!</v>
      </c>
      <c r="W164" s="180" t="e">
        <f t="shared" si="58"/>
        <v>#REF!</v>
      </c>
      <c r="X164" s="180" t="e">
        <f t="shared" si="58"/>
        <v>#REF!</v>
      </c>
      <c r="Y164" s="180" t="e">
        <f t="shared" si="58"/>
        <v>#REF!</v>
      </c>
      <c r="Z164" s="180" t="e">
        <f t="shared" si="58"/>
        <v>#REF!</v>
      </c>
      <c r="AA164" s="180" t="e">
        <f t="shared" si="58"/>
        <v>#REF!</v>
      </c>
      <c r="AB164" s="180" t="e">
        <f t="shared" si="58"/>
        <v>#REF!</v>
      </c>
      <c r="AC164" s="180" t="e">
        <f t="shared" si="58"/>
        <v>#REF!</v>
      </c>
      <c r="AD164" s="180" t="e">
        <f t="shared" si="58"/>
        <v>#REF!</v>
      </c>
      <c r="AE164" s="180" t="e">
        <f t="shared" si="58"/>
        <v>#REF!</v>
      </c>
      <c r="AF164" s="180" t="e">
        <f t="shared" si="58"/>
        <v>#REF!</v>
      </c>
      <c r="AG164" s="180" t="e">
        <f t="shared" si="58"/>
        <v>#REF!</v>
      </c>
      <c r="AH164" s="180" t="e">
        <f t="shared" si="58"/>
        <v>#REF!</v>
      </c>
      <c r="AI164" s="180" t="e">
        <f t="shared" si="58"/>
        <v>#REF!</v>
      </c>
      <c r="AJ164" s="180" t="e">
        <f t="shared" si="58"/>
        <v>#REF!</v>
      </c>
      <c r="AK164" s="180" t="e">
        <f t="shared" si="58"/>
        <v>#REF!</v>
      </c>
      <c r="AL164" s="181" t="e">
        <f t="shared" si="58"/>
        <v>#REF!</v>
      </c>
    </row>
    <row r="165" spans="1:38" s="45" customFormat="1" ht="14.25" outlineLevel="2">
      <c r="A165" s="213"/>
      <c r="B165" s="206"/>
      <c r="C165" s="242" t="s">
        <v>231</v>
      </c>
      <c r="D165" s="49" t="s">
        <v>279</v>
      </c>
      <c r="E165" s="225" t="s">
        <v>28</v>
      </c>
      <c r="F165" s="226" t="s">
        <v>28</v>
      </c>
      <c r="G165" s="226" t="s">
        <v>28</v>
      </c>
      <c r="H165" s="227" t="s">
        <v>28</v>
      </c>
      <c r="I165" s="187" t="str">
        <f aca="true" t="shared" si="59" ref="I165:AL165">IF(I26&gt;=I27,"OK","BŁĄD")</f>
        <v>OK</v>
      </c>
      <c r="J165" s="180" t="str">
        <f t="shared" si="59"/>
        <v>OK</v>
      </c>
      <c r="K165" s="180" t="str">
        <f t="shared" si="59"/>
        <v>OK</v>
      </c>
      <c r="L165" s="180" t="str">
        <f t="shared" si="59"/>
        <v>OK</v>
      </c>
      <c r="M165" s="180" t="str">
        <f t="shared" si="59"/>
        <v>OK</v>
      </c>
      <c r="N165" s="180" t="str">
        <f t="shared" si="59"/>
        <v>OK</v>
      </c>
      <c r="O165" s="180" t="str">
        <f t="shared" si="59"/>
        <v>OK</v>
      </c>
      <c r="P165" s="180" t="str">
        <f t="shared" si="59"/>
        <v>OK</v>
      </c>
      <c r="Q165" s="180" t="str">
        <f t="shared" si="59"/>
        <v>OK</v>
      </c>
      <c r="R165" s="180" t="str">
        <f t="shared" si="59"/>
        <v>OK</v>
      </c>
      <c r="S165" s="180" t="e">
        <f t="shared" si="59"/>
        <v>#REF!</v>
      </c>
      <c r="T165" s="180" t="e">
        <f t="shared" si="59"/>
        <v>#REF!</v>
      </c>
      <c r="U165" s="180" t="e">
        <f t="shared" si="59"/>
        <v>#REF!</v>
      </c>
      <c r="V165" s="180" t="e">
        <f t="shared" si="59"/>
        <v>#REF!</v>
      </c>
      <c r="W165" s="180" t="e">
        <f t="shared" si="59"/>
        <v>#REF!</v>
      </c>
      <c r="X165" s="180" t="e">
        <f t="shared" si="59"/>
        <v>#REF!</v>
      </c>
      <c r="Y165" s="180" t="e">
        <f t="shared" si="59"/>
        <v>#REF!</v>
      </c>
      <c r="Z165" s="180" t="e">
        <f t="shared" si="59"/>
        <v>#REF!</v>
      </c>
      <c r="AA165" s="180" t="e">
        <f t="shared" si="59"/>
        <v>#REF!</v>
      </c>
      <c r="AB165" s="180" t="e">
        <f t="shared" si="59"/>
        <v>#REF!</v>
      </c>
      <c r="AC165" s="180" t="e">
        <f t="shared" si="59"/>
        <v>#REF!</v>
      </c>
      <c r="AD165" s="180" t="e">
        <f t="shared" si="59"/>
        <v>#REF!</v>
      </c>
      <c r="AE165" s="180" t="e">
        <f t="shared" si="59"/>
        <v>#REF!</v>
      </c>
      <c r="AF165" s="180" t="e">
        <f t="shared" si="59"/>
        <v>#REF!</v>
      </c>
      <c r="AG165" s="180" t="e">
        <f t="shared" si="59"/>
        <v>#REF!</v>
      </c>
      <c r="AH165" s="180" t="e">
        <f t="shared" si="59"/>
        <v>#REF!</v>
      </c>
      <c r="AI165" s="180" t="e">
        <f t="shared" si="59"/>
        <v>#REF!</v>
      </c>
      <c r="AJ165" s="180" t="e">
        <f t="shared" si="59"/>
        <v>#REF!</v>
      </c>
      <c r="AK165" s="180" t="e">
        <f t="shared" si="59"/>
        <v>#REF!</v>
      </c>
      <c r="AL165" s="181" t="e">
        <f t="shared" si="59"/>
        <v>#REF!</v>
      </c>
    </row>
    <row r="166" spans="1:38" s="237" customFormat="1" ht="14.25" outlineLevel="2">
      <c r="A166" s="243"/>
      <c r="B166" s="241"/>
      <c r="C166" s="242" t="s">
        <v>231</v>
      </c>
      <c r="D166" s="239" t="s">
        <v>403</v>
      </c>
      <c r="E166" s="244" t="s">
        <v>28</v>
      </c>
      <c r="F166" s="245" t="s">
        <v>28</v>
      </c>
      <c r="G166" s="245" t="s">
        <v>28</v>
      </c>
      <c r="H166" s="246" t="s">
        <v>28</v>
      </c>
      <c r="I166" s="187" t="str">
        <f>IF(I27&gt;=(I28+I29),"OK","BŁĄD")</f>
        <v>OK</v>
      </c>
      <c r="J166" s="180" t="str">
        <f aca="true" t="shared" si="60" ref="J166:AL166">IF(J27&gt;=J28,"OK","BŁĄD")</f>
        <v>OK</v>
      </c>
      <c r="K166" s="180" t="str">
        <f t="shared" si="60"/>
        <v>OK</v>
      </c>
      <c r="L166" s="180" t="str">
        <f t="shared" si="60"/>
        <v>OK</v>
      </c>
      <c r="M166" s="180" t="str">
        <f t="shared" si="60"/>
        <v>OK</v>
      </c>
      <c r="N166" s="180" t="str">
        <f t="shared" si="60"/>
        <v>OK</v>
      </c>
      <c r="O166" s="180" t="str">
        <f t="shared" si="60"/>
        <v>OK</v>
      </c>
      <c r="P166" s="180" t="str">
        <f t="shared" si="60"/>
        <v>OK</v>
      </c>
      <c r="Q166" s="180" t="str">
        <f t="shared" si="60"/>
        <v>OK</v>
      </c>
      <c r="R166" s="180" t="str">
        <f t="shared" si="60"/>
        <v>OK</v>
      </c>
      <c r="S166" s="180" t="e">
        <f t="shared" si="60"/>
        <v>#REF!</v>
      </c>
      <c r="T166" s="180" t="e">
        <f t="shared" si="60"/>
        <v>#REF!</v>
      </c>
      <c r="U166" s="180" t="e">
        <f t="shared" si="60"/>
        <v>#REF!</v>
      </c>
      <c r="V166" s="180" t="e">
        <f t="shared" si="60"/>
        <v>#REF!</v>
      </c>
      <c r="W166" s="180" t="e">
        <f t="shared" si="60"/>
        <v>#REF!</v>
      </c>
      <c r="X166" s="180" t="e">
        <f t="shared" si="60"/>
        <v>#REF!</v>
      </c>
      <c r="Y166" s="180" t="e">
        <f t="shared" si="60"/>
        <v>#REF!</v>
      </c>
      <c r="Z166" s="180" t="e">
        <f t="shared" si="60"/>
        <v>#REF!</v>
      </c>
      <c r="AA166" s="180" t="e">
        <f t="shared" si="60"/>
        <v>#REF!</v>
      </c>
      <c r="AB166" s="180" t="e">
        <f t="shared" si="60"/>
        <v>#REF!</v>
      </c>
      <c r="AC166" s="180" t="e">
        <f t="shared" si="60"/>
        <v>#REF!</v>
      </c>
      <c r="AD166" s="180" t="e">
        <f t="shared" si="60"/>
        <v>#REF!</v>
      </c>
      <c r="AE166" s="180" t="e">
        <f t="shared" si="60"/>
        <v>#REF!</v>
      </c>
      <c r="AF166" s="180" t="e">
        <f t="shared" si="60"/>
        <v>#REF!</v>
      </c>
      <c r="AG166" s="180" t="e">
        <f t="shared" si="60"/>
        <v>#REF!</v>
      </c>
      <c r="AH166" s="180" t="e">
        <f t="shared" si="60"/>
        <v>#REF!</v>
      </c>
      <c r="AI166" s="180" t="e">
        <f t="shared" si="60"/>
        <v>#REF!</v>
      </c>
      <c r="AJ166" s="180" t="e">
        <f t="shared" si="60"/>
        <v>#REF!</v>
      </c>
      <c r="AK166" s="180" t="e">
        <f t="shared" si="60"/>
        <v>#REF!</v>
      </c>
      <c r="AL166" s="181" t="e">
        <f t="shared" si="60"/>
        <v>#REF!</v>
      </c>
    </row>
    <row r="167" spans="1:38" s="45" customFormat="1" ht="14.25" outlineLevel="2">
      <c r="A167" s="213"/>
      <c r="B167" s="206"/>
      <c r="C167" s="242" t="s">
        <v>232</v>
      </c>
      <c r="D167" s="49" t="s">
        <v>280</v>
      </c>
      <c r="E167" s="225" t="s">
        <v>28</v>
      </c>
      <c r="F167" s="226" t="s">
        <v>28</v>
      </c>
      <c r="G167" s="226" t="s">
        <v>28</v>
      </c>
      <c r="H167" s="227" t="s">
        <v>28</v>
      </c>
      <c r="I167" s="187" t="str">
        <f aca="true" t="shared" si="61" ref="I167:AL167">IF(I22&gt;=(I23+I25+I26),"OK","BŁĄD")</f>
        <v>OK</v>
      </c>
      <c r="J167" s="180" t="str">
        <f t="shared" si="61"/>
        <v>OK</v>
      </c>
      <c r="K167" s="180" t="str">
        <f t="shared" si="61"/>
        <v>OK</v>
      </c>
      <c r="L167" s="180" t="str">
        <f t="shared" si="61"/>
        <v>OK</v>
      </c>
      <c r="M167" s="180" t="str">
        <f t="shared" si="61"/>
        <v>OK</v>
      </c>
      <c r="N167" s="180" t="str">
        <f t="shared" si="61"/>
        <v>OK</v>
      </c>
      <c r="O167" s="180" t="str">
        <f t="shared" si="61"/>
        <v>OK</v>
      </c>
      <c r="P167" s="180" t="str">
        <f t="shared" si="61"/>
        <v>OK</v>
      </c>
      <c r="Q167" s="180" t="str">
        <f t="shared" si="61"/>
        <v>OK</v>
      </c>
      <c r="R167" s="180" t="str">
        <f t="shared" si="61"/>
        <v>OK</v>
      </c>
      <c r="S167" s="180" t="e">
        <f t="shared" si="61"/>
        <v>#REF!</v>
      </c>
      <c r="T167" s="180" t="e">
        <f t="shared" si="61"/>
        <v>#REF!</v>
      </c>
      <c r="U167" s="180" t="e">
        <f t="shared" si="61"/>
        <v>#REF!</v>
      </c>
      <c r="V167" s="180" t="e">
        <f t="shared" si="61"/>
        <v>#REF!</v>
      </c>
      <c r="W167" s="180" t="e">
        <f t="shared" si="61"/>
        <v>#REF!</v>
      </c>
      <c r="X167" s="180" t="e">
        <f t="shared" si="61"/>
        <v>#REF!</v>
      </c>
      <c r="Y167" s="180" t="e">
        <f t="shared" si="61"/>
        <v>#REF!</v>
      </c>
      <c r="Z167" s="180" t="e">
        <f t="shared" si="61"/>
        <v>#REF!</v>
      </c>
      <c r="AA167" s="180" t="e">
        <f t="shared" si="61"/>
        <v>#REF!</v>
      </c>
      <c r="AB167" s="180" t="e">
        <f t="shared" si="61"/>
        <v>#REF!</v>
      </c>
      <c r="AC167" s="180" t="e">
        <f t="shared" si="61"/>
        <v>#REF!</v>
      </c>
      <c r="AD167" s="180" t="e">
        <f t="shared" si="61"/>
        <v>#REF!</v>
      </c>
      <c r="AE167" s="180" t="e">
        <f t="shared" si="61"/>
        <v>#REF!</v>
      </c>
      <c r="AF167" s="180" t="e">
        <f t="shared" si="61"/>
        <v>#REF!</v>
      </c>
      <c r="AG167" s="180" t="e">
        <f t="shared" si="61"/>
        <v>#REF!</v>
      </c>
      <c r="AH167" s="180" t="e">
        <f t="shared" si="61"/>
        <v>#REF!</v>
      </c>
      <c r="AI167" s="180" t="e">
        <f t="shared" si="61"/>
        <v>#REF!</v>
      </c>
      <c r="AJ167" s="180" t="e">
        <f t="shared" si="61"/>
        <v>#REF!</v>
      </c>
      <c r="AK167" s="180" t="e">
        <f t="shared" si="61"/>
        <v>#REF!</v>
      </c>
      <c r="AL167" s="181" t="e">
        <f t="shared" si="61"/>
        <v>#REF!</v>
      </c>
    </row>
    <row r="168" spans="1:38" s="45" customFormat="1" ht="14.25" outlineLevel="2">
      <c r="A168" s="213"/>
      <c r="B168" s="206"/>
      <c r="C168" s="242" t="s">
        <v>233</v>
      </c>
      <c r="D168" s="49" t="s">
        <v>281</v>
      </c>
      <c r="E168" s="225" t="s">
        <v>28</v>
      </c>
      <c r="F168" s="226" t="s">
        <v>28</v>
      </c>
      <c r="G168" s="226" t="s">
        <v>28</v>
      </c>
      <c r="H168" s="227" t="s">
        <v>28</v>
      </c>
      <c r="I168" s="187" t="str">
        <f aca="true" t="shared" si="62" ref="I168:AL168">IF(I22&gt;=I66,"OK","BŁĄD")</f>
        <v>OK</v>
      </c>
      <c r="J168" s="180" t="str">
        <f t="shared" si="62"/>
        <v>OK</v>
      </c>
      <c r="K168" s="180" t="str">
        <f t="shared" si="62"/>
        <v>OK</v>
      </c>
      <c r="L168" s="180" t="str">
        <f t="shared" si="62"/>
        <v>OK</v>
      </c>
      <c r="M168" s="180" t="str">
        <f t="shared" si="62"/>
        <v>OK</v>
      </c>
      <c r="N168" s="180" t="str">
        <f t="shared" si="62"/>
        <v>OK</v>
      </c>
      <c r="O168" s="180" t="str">
        <f t="shared" si="62"/>
        <v>OK</v>
      </c>
      <c r="P168" s="180" t="str">
        <f t="shared" si="62"/>
        <v>OK</v>
      </c>
      <c r="Q168" s="180" t="str">
        <f t="shared" si="62"/>
        <v>OK</v>
      </c>
      <c r="R168" s="180" t="str">
        <f t="shared" si="62"/>
        <v>OK</v>
      </c>
      <c r="S168" s="180" t="e">
        <f t="shared" si="62"/>
        <v>#REF!</v>
      </c>
      <c r="T168" s="180" t="e">
        <f t="shared" si="62"/>
        <v>#REF!</v>
      </c>
      <c r="U168" s="180" t="e">
        <f t="shared" si="62"/>
        <v>#REF!</v>
      </c>
      <c r="V168" s="180" t="e">
        <f t="shared" si="62"/>
        <v>#REF!</v>
      </c>
      <c r="W168" s="180" t="e">
        <f t="shared" si="62"/>
        <v>#REF!</v>
      </c>
      <c r="X168" s="180" t="e">
        <f t="shared" si="62"/>
        <v>#REF!</v>
      </c>
      <c r="Y168" s="180" t="e">
        <f t="shared" si="62"/>
        <v>#REF!</v>
      </c>
      <c r="Z168" s="180" t="e">
        <f t="shared" si="62"/>
        <v>#REF!</v>
      </c>
      <c r="AA168" s="180" t="e">
        <f t="shared" si="62"/>
        <v>#REF!</v>
      </c>
      <c r="AB168" s="180" t="e">
        <f t="shared" si="62"/>
        <v>#REF!</v>
      </c>
      <c r="AC168" s="180" t="e">
        <f t="shared" si="62"/>
        <v>#REF!</v>
      </c>
      <c r="AD168" s="180" t="e">
        <f t="shared" si="62"/>
        <v>#REF!</v>
      </c>
      <c r="AE168" s="180" t="e">
        <f t="shared" si="62"/>
        <v>#REF!</v>
      </c>
      <c r="AF168" s="180" t="e">
        <f t="shared" si="62"/>
        <v>#REF!</v>
      </c>
      <c r="AG168" s="180" t="e">
        <f t="shared" si="62"/>
        <v>#REF!</v>
      </c>
      <c r="AH168" s="180" t="e">
        <f t="shared" si="62"/>
        <v>#REF!</v>
      </c>
      <c r="AI168" s="180" t="e">
        <f t="shared" si="62"/>
        <v>#REF!</v>
      </c>
      <c r="AJ168" s="180" t="e">
        <f t="shared" si="62"/>
        <v>#REF!</v>
      </c>
      <c r="AK168" s="180" t="e">
        <f t="shared" si="62"/>
        <v>#REF!</v>
      </c>
      <c r="AL168" s="181" t="e">
        <f t="shared" si="62"/>
        <v>#REF!</v>
      </c>
    </row>
    <row r="169" spans="1:38" s="45" customFormat="1" ht="14.25" outlineLevel="2">
      <c r="A169" s="213"/>
      <c r="B169" s="206"/>
      <c r="C169" s="242" t="s">
        <v>234</v>
      </c>
      <c r="D169" s="49" t="s">
        <v>282</v>
      </c>
      <c r="E169" s="225" t="s">
        <v>28</v>
      </c>
      <c r="F169" s="226" t="s">
        <v>28</v>
      </c>
      <c r="G169" s="226" t="s">
        <v>28</v>
      </c>
      <c r="H169" s="227" t="s">
        <v>28</v>
      </c>
      <c r="I169" s="187" t="str">
        <f aca="true" t="shared" si="63" ref="I169:AL169">IF(I22&gt;=I69,"OK","BŁĄD")</f>
        <v>OK</v>
      </c>
      <c r="J169" s="180" t="str">
        <f t="shared" si="63"/>
        <v>OK</v>
      </c>
      <c r="K169" s="180" t="str">
        <f t="shared" si="63"/>
        <v>OK</v>
      </c>
      <c r="L169" s="180" t="str">
        <f t="shared" si="63"/>
        <v>OK</v>
      </c>
      <c r="M169" s="180" t="str">
        <f t="shared" si="63"/>
        <v>OK</v>
      </c>
      <c r="N169" s="180" t="str">
        <f t="shared" si="63"/>
        <v>OK</v>
      </c>
      <c r="O169" s="180" t="str">
        <f t="shared" si="63"/>
        <v>OK</v>
      </c>
      <c r="P169" s="180" t="str">
        <f t="shared" si="63"/>
        <v>OK</v>
      </c>
      <c r="Q169" s="180" t="str">
        <f t="shared" si="63"/>
        <v>OK</v>
      </c>
      <c r="R169" s="180" t="str">
        <f t="shared" si="63"/>
        <v>OK</v>
      </c>
      <c r="S169" s="180" t="e">
        <f t="shared" si="63"/>
        <v>#REF!</v>
      </c>
      <c r="T169" s="180" t="e">
        <f t="shared" si="63"/>
        <v>#REF!</v>
      </c>
      <c r="U169" s="180" t="e">
        <f t="shared" si="63"/>
        <v>#REF!</v>
      </c>
      <c r="V169" s="180" t="e">
        <f t="shared" si="63"/>
        <v>#REF!</v>
      </c>
      <c r="W169" s="180" t="e">
        <f t="shared" si="63"/>
        <v>#REF!</v>
      </c>
      <c r="X169" s="180" t="e">
        <f t="shared" si="63"/>
        <v>#REF!</v>
      </c>
      <c r="Y169" s="180" t="e">
        <f t="shared" si="63"/>
        <v>#REF!</v>
      </c>
      <c r="Z169" s="180" t="e">
        <f t="shared" si="63"/>
        <v>#REF!</v>
      </c>
      <c r="AA169" s="180" t="e">
        <f t="shared" si="63"/>
        <v>#REF!</v>
      </c>
      <c r="AB169" s="180" t="e">
        <f t="shared" si="63"/>
        <v>#REF!</v>
      </c>
      <c r="AC169" s="180" t="e">
        <f t="shared" si="63"/>
        <v>#REF!</v>
      </c>
      <c r="AD169" s="180" t="e">
        <f t="shared" si="63"/>
        <v>#REF!</v>
      </c>
      <c r="AE169" s="180" t="e">
        <f t="shared" si="63"/>
        <v>#REF!</v>
      </c>
      <c r="AF169" s="180" t="e">
        <f t="shared" si="63"/>
        <v>#REF!</v>
      </c>
      <c r="AG169" s="180" t="e">
        <f t="shared" si="63"/>
        <v>#REF!</v>
      </c>
      <c r="AH169" s="180" t="e">
        <f t="shared" si="63"/>
        <v>#REF!</v>
      </c>
      <c r="AI169" s="180" t="e">
        <f t="shared" si="63"/>
        <v>#REF!</v>
      </c>
      <c r="AJ169" s="180" t="e">
        <f t="shared" si="63"/>
        <v>#REF!</v>
      </c>
      <c r="AK169" s="180" t="e">
        <f t="shared" si="63"/>
        <v>#REF!</v>
      </c>
      <c r="AL169" s="181" t="e">
        <f t="shared" si="63"/>
        <v>#REF!</v>
      </c>
    </row>
    <row r="170" spans="1:38" s="45" customFormat="1" ht="14.25" outlineLevel="2">
      <c r="A170" s="213"/>
      <c r="B170" s="206"/>
      <c r="C170" s="242" t="s">
        <v>235</v>
      </c>
      <c r="D170" s="49" t="s">
        <v>283</v>
      </c>
      <c r="E170" s="225" t="s">
        <v>28</v>
      </c>
      <c r="F170" s="226" t="s">
        <v>28</v>
      </c>
      <c r="G170" s="226" t="s">
        <v>28</v>
      </c>
      <c r="H170" s="227" t="s">
        <v>28</v>
      </c>
      <c r="I170" s="187" t="str">
        <f aca="true" t="shared" si="64" ref="I170:AL170">IF(I22&gt;=I81,"OK","BŁĄD")</f>
        <v>OK</v>
      </c>
      <c r="J170" s="180" t="str">
        <f t="shared" si="64"/>
        <v>OK</v>
      </c>
      <c r="K170" s="180" t="str">
        <f t="shared" si="64"/>
        <v>OK</v>
      </c>
      <c r="L170" s="180" t="str">
        <f t="shared" si="64"/>
        <v>OK</v>
      </c>
      <c r="M170" s="180" t="str">
        <f t="shared" si="64"/>
        <v>OK</v>
      </c>
      <c r="N170" s="180" t="str">
        <f t="shared" si="64"/>
        <v>OK</v>
      </c>
      <c r="O170" s="180" t="str">
        <f t="shared" si="64"/>
        <v>OK</v>
      </c>
      <c r="P170" s="180" t="str">
        <f t="shared" si="64"/>
        <v>OK</v>
      </c>
      <c r="Q170" s="180" t="str">
        <f t="shared" si="64"/>
        <v>OK</v>
      </c>
      <c r="R170" s="180" t="str">
        <f t="shared" si="64"/>
        <v>OK</v>
      </c>
      <c r="S170" s="180" t="e">
        <f t="shared" si="64"/>
        <v>#REF!</v>
      </c>
      <c r="T170" s="180" t="e">
        <f t="shared" si="64"/>
        <v>#REF!</v>
      </c>
      <c r="U170" s="180" t="e">
        <f t="shared" si="64"/>
        <v>#REF!</v>
      </c>
      <c r="V170" s="180" t="e">
        <f t="shared" si="64"/>
        <v>#REF!</v>
      </c>
      <c r="W170" s="180" t="e">
        <f t="shared" si="64"/>
        <v>#REF!</v>
      </c>
      <c r="X170" s="180" t="e">
        <f t="shared" si="64"/>
        <v>#REF!</v>
      </c>
      <c r="Y170" s="180" t="e">
        <f t="shared" si="64"/>
        <v>#REF!</v>
      </c>
      <c r="Z170" s="180" t="e">
        <f t="shared" si="64"/>
        <v>#REF!</v>
      </c>
      <c r="AA170" s="180" t="e">
        <f t="shared" si="64"/>
        <v>#REF!</v>
      </c>
      <c r="AB170" s="180" t="e">
        <f t="shared" si="64"/>
        <v>#REF!</v>
      </c>
      <c r="AC170" s="180" t="e">
        <f t="shared" si="64"/>
        <v>#REF!</v>
      </c>
      <c r="AD170" s="180" t="e">
        <f t="shared" si="64"/>
        <v>#REF!</v>
      </c>
      <c r="AE170" s="180" t="e">
        <f t="shared" si="64"/>
        <v>#REF!</v>
      </c>
      <c r="AF170" s="180" t="e">
        <f t="shared" si="64"/>
        <v>#REF!</v>
      </c>
      <c r="AG170" s="180" t="e">
        <f t="shared" si="64"/>
        <v>#REF!</v>
      </c>
      <c r="AH170" s="180" t="e">
        <f t="shared" si="64"/>
        <v>#REF!</v>
      </c>
      <c r="AI170" s="180" t="e">
        <f t="shared" si="64"/>
        <v>#REF!</v>
      </c>
      <c r="AJ170" s="180" t="e">
        <f t="shared" si="64"/>
        <v>#REF!</v>
      </c>
      <c r="AK170" s="180" t="e">
        <f t="shared" si="64"/>
        <v>#REF!</v>
      </c>
      <c r="AL170" s="181" t="e">
        <f t="shared" si="64"/>
        <v>#REF!</v>
      </c>
    </row>
    <row r="171" spans="1:38" s="45" customFormat="1" ht="14.25" outlineLevel="2">
      <c r="A171" s="213"/>
      <c r="B171" s="206"/>
      <c r="C171" s="242" t="s">
        <v>236</v>
      </c>
      <c r="D171" s="49" t="s">
        <v>284</v>
      </c>
      <c r="E171" s="225" t="s">
        <v>28</v>
      </c>
      <c r="F171" s="226" t="s">
        <v>28</v>
      </c>
      <c r="G171" s="226" t="s">
        <v>28</v>
      </c>
      <c r="H171" s="227" t="s">
        <v>28</v>
      </c>
      <c r="I171" s="187" t="str">
        <f aca="true" t="shared" si="65" ref="I171:AL171">IF(I22&gt;=I102,"OK","BŁĄD")</f>
        <v>OK</v>
      </c>
      <c r="J171" s="180" t="str">
        <f t="shared" si="65"/>
        <v>OK</v>
      </c>
      <c r="K171" s="180" t="str">
        <f t="shared" si="65"/>
        <v>OK</v>
      </c>
      <c r="L171" s="180" t="str">
        <f t="shared" si="65"/>
        <v>OK</v>
      </c>
      <c r="M171" s="180" t="str">
        <f t="shared" si="65"/>
        <v>OK</v>
      </c>
      <c r="N171" s="180" t="str">
        <f t="shared" si="65"/>
        <v>OK</v>
      </c>
      <c r="O171" s="180" t="str">
        <f t="shared" si="65"/>
        <v>OK</v>
      </c>
      <c r="P171" s="180" t="str">
        <f t="shared" si="65"/>
        <v>OK</v>
      </c>
      <c r="Q171" s="180" t="str">
        <f t="shared" si="65"/>
        <v>OK</v>
      </c>
      <c r="R171" s="180" t="str">
        <f t="shared" si="65"/>
        <v>OK</v>
      </c>
      <c r="S171" s="180" t="e">
        <f t="shared" si="65"/>
        <v>#REF!</v>
      </c>
      <c r="T171" s="180" t="e">
        <f t="shared" si="65"/>
        <v>#REF!</v>
      </c>
      <c r="U171" s="180" t="e">
        <f t="shared" si="65"/>
        <v>#REF!</v>
      </c>
      <c r="V171" s="180" t="e">
        <f t="shared" si="65"/>
        <v>#REF!</v>
      </c>
      <c r="W171" s="180" t="e">
        <f t="shared" si="65"/>
        <v>#REF!</v>
      </c>
      <c r="X171" s="180" t="e">
        <f t="shared" si="65"/>
        <v>#REF!</v>
      </c>
      <c r="Y171" s="180" t="e">
        <f t="shared" si="65"/>
        <v>#REF!</v>
      </c>
      <c r="Z171" s="180" t="e">
        <f t="shared" si="65"/>
        <v>#REF!</v>
      </c>
      <c r="AA171" s="180" t="e">
        <f t="shared" si="65"/>
        <v>#REF!</v>
      </c>
      <c r="AB171" s="180" t="e">
        <f t="shared" si="65"/>
        <v>#REF!</v>
      </c>
      <c r="AC171" s="180" t="e">
        <f t="shared" si="65"/>
        <v>#REF!</v>
      </c>
      <c r="AD171" s="180" t="e">
        <f t="shared" si="65"/>
        <v>#REF!</v>
      </c>
      <c r="AE171" s="180" t="e">
        <f t="shared" si="65"/>
        <v>#REF!</v>
      </c>
      <c r="AF171" s="180" t="e">
        <f t="shared" si="65"/>
        <v>#REF!</v>
      </c>
      <c r="AG171" s="180" t="e">
        <f t="shared" si="65"/>
        <v>#REF!</v>
      </c>
      <c r="AH171" s="180" t="e">
        <f t="shared" si="65"/>
        <v>#REF!</v>
      </c>
      <c r="AI171" s="180" t="e">
        <f t="shared" si="65"/>
        <v>#REF!</v>
      </c>
      <c r="AJ171" s="180" t="e">
        <f t="shared" si="65"/>
        <v>#REF!</v>
      </c>
      <c r="AK171" s="180" t="e">
        <f t="shared" si="65"/>
        <v>#REF!</v>
      </c>
      <c r="AL171" s="181" t="e">
        <f t="shared" si="65"/>
        <v>#REF!</v>
      </c>
    </row>
    <row r="172" spans="1:38" s="45" customFormat="1" ht="14.25" outlineLevel="2">
      <c r="A172" s="213"/>
      <c r="B172" s="206"/>
      <c r="C172" s="242" t="s">
        <v>237</v>
      </c>
      <c r="D172" s="49" t="s">
        <v>285</v>
      </c>
      <c r="E172" s="225" t="s">
        <v>28</v>
      </c>
      <c r="F172" s="226" t="s">
        <v>28</v>
      </c>
      <c r="G172" s="226" t="s">
        <v>28</v>
      </c>
      <c r="H172" s="227" t="s">
        <v>28</v>
      </c>
      <c r="I172" s="187" t="str">
        <f aca="true" t="shared" si="66" ref="I172:AL172">IF(I30&gt;=I70,"OK","BŁĄD")</f>
        <v>OK</v>
      </c>
      <c r="J172" s="180" t="str">
        <f t="shared" si="66"/>
        <v>OK</v>
      </c>
      <c r="K172" s="180" t="str">
        <f t="shared" si="66"/>
        <v>OK</v>
      </c>
      <c r="L172" s="180" t="str">
        <f t="shared" si="66"/>
        <v>OK</v>
      </c>
      <c r="M172" s="180" t="str">
        <f t="shared" si="66"/>
        <v>OK</v>
      </c>
      <c r="N172" s="180" t="str">
        <f t="shared" si="66"/>
        <v>OK</v>
      </c>
      <c r="O172" s="180" t="str">
        <f t="shared" si="66"/>
        <v>OK</v>
      </c>
      <c r="P172" s="180" t="str">
        <f t="shared" si="66"/>
        <v>OK</v>
      </c>
      <c r="Q172" s="180" t="str">
        <f t="shared" si="66"/>
        <v>OK</v>
      </c>
      <c r="R172" s="180" t="str">
        <f t="shared" si="66"/>
        <v>OK</v>
      </c>
      <c r="S172" s="180" t="e">
        <f t="shared" si="66"/>
        <v>#REF!</v>
      </c>
      <c r="T172" s="180" t="e">
        <f t="shared" si="66"/>
        <v>#REF!</v>
      </c>
      <c r="U172" s="180" t="e">
        <f t="shared" si="66"/>
        <v>#REF!</v>
      </c>
      <c r="V172" s="180" t="e">
        <f t="shared" si="66"/>
        <v>#REF!</v>
      </c>
      <c r="W172" s="180" t="e">
        <f t="shared" si="66"/>
        <v>#REF!</v>
      </c>
      <c r="X172" s="180" t="e">
        <f t="shared" si="66"/>
        <v>#REF!</v>
      </c>
      <c r="Y172" s="180" t="e">
        <f t="shared" si="66"/>
        <v>#REF!</v>
      </c>
      <c r="Z172" s="180" t="e">
        <f t="shared" si="66"/>
        <v>#REF!</v>
      </c>
      <c r="AA172" s="180" t="e">
        <f t="shared" si="66"/>
        <v>#REF!</v>
      </c>
      <c r="AB172" s="180" t="e">
        <f t="shared" si="66"/>
        <v>#REF!</v>
      </c>
      <c r="AC172" s="180" t="e">
        <f t="shared" si="66"/>
        <v>#REF!</v>
      </c>
      <c r="AD172" s="180" t="e">
        <f t="shared" si="66"/>
        <v>#REF!</v>
      </c>
      <c r="AE172" s="180" t="e">
        <f t="shared" si="66"/>
        <v>#REF!</v>
      </c>
      <c r="AF172" s="180" t="e">
        <f t="shared" si="66"/>
        <v>#REF!</v>
      </c>
      <c r="AG172" s="180" t="e">
        <f t="shared" si="66"/>
        <v>#REF!</v>
      </c>
      <c r="AH172" s="180" t="e">
        <f t="shared" si="66"/>
        <v>#REF!</v>
      </c>
      <c r="AI172" s="180" t="e">
        <f t="shared" si="66"/>
        <v>#REF!</v>
      </c>
      <c r="AJ172" s="180" t="e">
        <f t="shared" si="66"/>
        <v>#REF!</v>
      </c>
      <c r="AK172" s="180" t="e">
        <f t="shared" si="66"/>
        <v>#REF!</v>
      </c>
      <c r="AL172" s="181" t="e">
        <f t="shared" si="66"/>
        <v>#REF!</v>
      </c>
    </row>
    <row r="173" spans="1:38" s="45" customFormat="1" ht="14.25" outlineLevel="2">
      <c r="A173" s="213"/>
      <c r="B173" s="206"/>
      <c r="C173" s="242" t="s">
        <v>238</v>
      </c>
      <c r="D173" s="49" t="s">
        <v>286</v>
      </c>
      <c r="E173" s="225" t="s">
        <v>28</v>
      </c>
      <c r="F173" s="226" t="s">
        <v>28</v>
      </c>
      <c r="G173" s="226" t="s">
        <v>28</v>
      </c>
      <c r="H173" s="227" t="s">
        <v>28</v>
      </c>
      <c r="I173" s="187" t="str">
        <f aca="true" t="shared" si="67" ref="I173:AL173">IF(I30&gt;=I71+I72,"OK","BŁĄD")</f>
        <v>OK</v>
      </c>
      <c r="J173" s="180" t="str">
        <f t="shared" si="67"/>
        <v>OK</v>
      </c>
      <c r="K173" s="180" t="str">
        <f t="shared" si="67"/>
        <v>OK</v>
      </c>
      <c r="L173" s="180" t="str">
        <f t="shared" si="67"/>
        <v>OK</v>
      </c>
      <c r="M173" s="180" t="str">
        <f t="shared" si="67"/>
        <v>OK</v>
      </c>
      <c r="N173" s="180" t="str">
        <f t="shared" si="67"/>
        <v>OK</v>
      </c>
      <c r="O173" s="180" t="str">
        <f t="shared" si="67"/>
        <v>OK</v>
      </c>
      <c r="P173" s="180" t="str">
        <f t="shared" si="67"/>
        <v>OK</v>
      </c>
      <c r="Q173" s="180" t="str">
        <f t="shared" si="67"/>
        <v>OK</v>
      </c>
      <c r="R173" s="180" t="str">
        <f t="shared" si="67"/>
        <v>OK</v>
      </c>
      <c r="S173" s="180" t="e">
        <f t="shared" si="67"/>
        <v>#REF!</v>
      </c>
      <c r="T173" s="180" t="e">
        <f t="shared" si="67"/>
        <v>#REF!</v>
      </c>
      <c r="U173" s="180" t="e">
        <f t="shared" si="67"/>
        <v>#REF!</v>
      </c>
      <c r="V173" s="180" t="e">
        <f t="shared" si="67"/>
        <v>#REF!</v>
      </c>
      <c r="W173" s="180" t="e">
        <f t="shared" si="67"/>
        <v>#REF!</v>
      </c>
      <c r="X173" s="180" t="e">
        <f t="shared" si="67"/>
        <v>#REF!</v>
      </c>
      <c r="Y173" s="180" t="e">
        <f t="shared" si="67"/>
        <v>#REF!</v>
      </c>
      <c r="Z173" s="180" t="e">
        <f t="shared" si="67"/>
        <v>#REF!</v>
      </c>
      <c r="AA173" s="180" t="e">
        <f t="shared" si="67"/>
        <v>#REF!</v>
      </c>
      <c r="AB173" s="180" t="e">
        <f t="shared" si="67"/>
        <v>#REF!</v>
      </c>
      <c r="AC173" s="180" t="e">
        <f t="shared" si="67"/>
        <v>#REF!</v>
      </c>
      <c r="AD173" s="180" t="e">
        <f t="shared" si="67"/>
        <v>#REF!</v>
      </c>
      <c r="AE173" s="180" t="e">
        <f t="shared" si="67"/>
        <v>#REF!</v>
      </c>
      <c r="AF173" s="180" t="e">
        <f t="shared" si="67"/>
        <v>#REF!</v>
      </c>
      <c r="AG173" s="180" t="e">
        <f t="shared" si="67"/>
        <v>#REF!</v>
      </c>
      <c r="AH173" s="180" t="e">
        <f t="shared" si="67"/>
        <v>#REF!</v>
      </c>
      <c r="AI173" s="180" t="e">
        <f t="shared" si="67"/>
        <v>#REF!</v>
      </c>
      <c r="AJ173" s="180" t="e">
        <f t="shared" si="67"/>
        <v>#REF!</v>
      </c>
      <c r="AK173" s="180" t="e">
        <f t="shared" si="67"/>
        <v>#REF!</v>
      </c>
      <c r="AL173" s="181" t="e">
        <f t="shared" si="67"/>
        <v>#REF!</v>
      </c>
    </row>
    <row r="174" spans="1:38" s="45" customFormat="1" ht="14.25" outlineLevel="2">
      <c r="A174" s="213"/>
      <c r="B174" s="206"/>
      <c r="C174" s="242" t="s">
        <v>239</v>
      </c>
      <c r="D174" s="49" t="s">
        <v>287</v>
      </c>
      <c r="E174" s="225" t="s">
        <v>28</v>
      </c>
      <c r="F174" s="226" t="s">
        <v>28</v>
      </c>
      <c r="G174" s="226" t="s">
        <v>28</v>
      </c>
      <c r="H174" s="227" t="s">
        <v>28</v>
      </c>
      <c r="I174" s="187" t="str">
        <f aca="true" t="shared" si="68" ref="I174:AL174">IF(I30&gt;=I73,"OK","BŁĄD")</f>
        <v>OK</v>
      </c>
      <c r="J174" s="180" t="str">
        <f t="shared" si="68"/>
        <v>OK</v>
      </c>
      <c r="K174" s="180" t="str">
        <f t="shared" si="68"/>
        <v>OK</v>
      </c>
      <c r="L174" s="180" t="str">
        <f t="shared" si="68"/>
        <v>OK</v>
      </c>
      <c r="M174" s="180" t="str">
        <f t="shared" si="68"/>
        <v>OK</v>
      </c>
      <c r="N174" s="180" t="str">
        <f t="shared" si="68"/>
        <v>OK</v>
      </c>
      <c r="O174" s="180" t="str">
        <f t="shared" si="68"/>
        <v>OK</v>
      </c>
      <c r="P174" s="180" t="str">
        <f t="shared" si="68"/>
        <v>OK</v>
      </c>
      <c r="Q174" s="180" t="str">
        <f t="shared" si="68"/>
        <v>OK</v>
      </c>
      <c r="R174" s="180" t="str">
        <f t="shared" si="68"/>
        <v>OK</v>
      </c>
      <c r="S174" s="180" t="e">
        <f t="shared" si="68"/>
        <v>#REF!</v>
      </c>
      <c r="T174" s="180" t="e">
        <f t="shared" si="68"/>
        <v>#REF!</v>
      </c>
      <c r="U174" s="180" t="e">
        <f t="shared" si="68"/>
        <v>#REF!</v>
      </c>
      <c r="V174" s="180" t="e">
        <f t="shared" si="68"/>
        <v>#REF!</v>
      </c>
      <c r="W174" s="180" t="e">
        <f t="shared" si="68"/>
        <v>#REF!</v>
      </c>
      <c r="X174" s="180" t="e">
        <f t="shared" si="68"/>
        <v>#REF!</v>
      </c>
      <c r="Y174" s="180" t="e">
        <f t="shared" si="68"/>
        <v>#REF!</v>
      </c>
      <c r="Z174" s="180" t="e">
        <f t="shared" si="68"/>
        <v>#REF!</v>
      </c>
      <c r="AA174" s="180" t="e">
        <f t="shared" si="68"/>
        <v>#REF!</v>
      </c>
      <c r="AB174" s="180" t="e">
        <f t="shared" si="68"/>
        <v>#REF!</v>
      </c>
      <c r="AC174" s="180" t="e">
        <f t="shared" si="68"/>
        <v>#REF!</v>
      </c>
      <c r="AD174" s="180" t="e">
        <f t="shared" si="68"/>
        <v>#REF!</v>
      </c>
      <c r="AE174" s="180" t="e">
        <f t="shared" si="68"/>
        <v>#REF!</v>
      </c>
      <c r="AF174" s="180" t="e">
        <f t="shared" si="68"/>
        <v>#REF!</v>
      </c>
      <c r="AG174" s="180" t="e">
        <f t="shared" si="68"/>
        <v>#REF!</v>
      </c>
      <c r="AH174" s="180" t="e">
        <f t="shared" si="68"/>
        <v>#REF!</v>
      </c>
      <c r="AI174" s="180" t="e">
        <f t="shared" si="68"/>
        <v>#REF!</v>
      </c>
      <c r="AJ174" s="180" t="e">
        <f t="shared" si="68"/>
        <v>#REF!</v>
      </c>
      <c r="AK174" s="180" t="e">
        <f t="shared" si="68"/>
        <v>#REF!</v>
      </c>
      <c r="AL174" s="181" t="e">
        <f t="shared" si="68"/>
        <v>#REF!</v>
      </c>
    </row>
    <row r="175" spans="1:38" s="45" customFormat="1" ht="14.25" outlineLevel="2">
      <c r="A175" s="213"/>
      <c r="B175" s="206"/>
      <c r="C175" s="242" t="s">
        <v>240</v>
      </c>
      <c r="D175" s="49" t="s">
        <v>288</v>
      </c>
      <c r="E175" s="225" t="s">
        <v>28</v>
      </c>
      <c r="F175" s="226" t="s">
        <v>28</v>
      </c>
      <c r="G175" s="226" t="s">
        <v>28</v>
      </c>
      <c r="H175" s="227" t="s">
        <v>28</v>
      </c>
      <c r="I175" s="187" t="str">
        <f aca="true" t="shared" si="69" ref="I175:AL175">IF(I30&gt;=I84,"OK","BŁĄD")</f>
        <v>OK</v>
      </c>
      <c r="J175" s="180" t="str">
        <f t="shared" si="69"/>
        <v>OK</v>
      </c>
      <c r="K175" s="180" t="str">
        <f t="shared" si="69"/>
        <v>OK</v>
      </c>
      <c r="L175" s="180" t="str">
        <f t="shared" si="69"/>
        <v>OK</v>
      </c>
      <c r="M175" s="180" t="str">
        <f t="shared" si="69"/>
        <v>OK</v>
      </c>
      <c r="N175" s="180" t="str">
        <f t="shared" si="69"/>
        <v>OK</v>
      </c>
      <c r="O175" s="180" t="str">
        <f t="shared" si="69"/>
        <v>OK</v>
      </c>
      <c r="P175" s="180" t="str">
        <f t="shared" si="69"/>
        <v>OK</v>
      </c>
      <c r="Q175" s="180" t="str">
        <f t="shared" si="69"/>
        <v>OK</v>
      </c>
      <c r="R175" s="180" t="str">
        <f t="shared" si="69"/>
        <v>OK</v>
      </c>
      <c r="S175" s="180" t="e">
        <f t="shared" si="69"/>
        <v>#REF!</v>
      </c>
      <c r="T175" s="180" t="e">
        <f t="shared" si="69"/>
        <v>#REF!</v>
      </c>
      <c r="U175" s="180" t="e">
        <f t="shared" si="69"/>
        <v>#REF!</v>
      </c>
      <c r="V175" s="180" t="e">
        <f t="shared" si="69"/>
        <v>#REF!</v>
      </c>
      <c r="W175" s="180" t="e">
        <f t="shared" si="69"/>
        <v>#REF!</v>
      </c>
      <c r="X175" s="180" t="e">
        <f t="shared" si="69"/>
        <v>#REF!</v>
      </c>
      <c r="Y175" s="180" t="e">
        <f t="shared" si="69"/>
        <v>#REF!</v>
      </c>
      <c r="Z175" s="180" t="e">
        <f t="shared" si="69"/>
        <v>#REF!</v>
      </c>
      <c r="AA175" s="180" t="e">
        <f t="shared" si="69"/>
        <v>#REF!</v>
      </c>
      <c r="AB175" s="180" t="e">
        <f t="shared" si="69"/>
        <v>#REF!</v>
      </c>
      <c r="AC175" s="180" t="e">
        <f t="shared" si="69"/>
        <v>#REF!</v>
      </c>
      <c r="AD175" s="180" t="e">
        <f t="shared" si="69"/>
        <v>#REF!</v>
      </c>
      <c r="AE175" s="180" t="e">
        <f t="shared" si="69"/>
        <v>#REF!</v>
      </c>
      <c r="AF175" s="180" t="e">
        <f t="shared" si="69"/>
        <v>#REF!</v>
      </c>
      <c r="AG175" s="180" t="e">
        <f t="shared" si="69"/>
        <v>#REF!</v>
      </c>
      <c r="AH175" s="180" t="e">
        <f t="shared" si="69"/>
        <v>#REF!</v>
      </c>
      <c r="AI175" s="180" t="e">
        <f t="shared" si="69"/>
        <v>#REF!</v>
      </c>
      <c r="AJ175" s="180" t="e">
        <f t="shared" si="69"/>
        <v>#REF!</v>
      </c>
      <c r="AK175" s="180" t="e">
        <f t="shared" si="69"/>
        <v>#REF!</v>
      </c>
      <c r="AL175" s="181" t="e">
        <f t="shared" si="69"/>
        <v>#REF!</v>
      </c>
    </row>
    <row r="176" spans="1:38" s="45" customFormat="1" ht="14.25" outlineLevel="2">
      <c r="A176" s="213"/>
      <c r="B176" s="206"/>
      <c r="C176" s="242" t="s">
        <v>241</v>
      </c>
      <c r="D176" s="49" t="s">
        <v>289</v>
      </c>
      <c r="E176" s="225" t="s">
        <v>28</v>
      </c>
      <c r="F176" s="226" t="s">
        <v>28</v>
      </c>
      <c r="G176" s="226" t="s">
        <v>28</v>
      </c>
      <c r="H176" s="227" t="s">
        <v>28</v>
      </c>
      <c r="I176" s="187" t="str">
        <f aca="true" t="shared" si="70" ref="I176:AL176">IF(I33&gt;=I34,"OK","BŁĄD")</f>
        <v>OK</v>
      </c>
      <c r="J176" s="180" t="str">
        <f t="shared" si="70"/>
        <v>OK</v>
      </c>
      <c r="K176" s="180" t="str">
        <f t="shared" si="70"/>
        <v>OK</v>
      </c>
      <c r="L176" s="180" t="str">
        <f t="shared" si="70"/>
        <v>OK</v>
      </c>
      <c r="M176" s="180" t="str">
        <f t="shared" si="70"/>
        <v>OK</v>
      </c>
      <c r="N176" s="180" t="str">
        <f t="shared" si="70"/>
        <v>OK</v>
      </c>
      <c r="O176" s="180" t="str">
        <f t="shared" si="70"/>
        <v>OK</v>
      </c>
      <c r="P176" s="180" t="str">
        <f t="shared" si="70"/>
        <v>OK</v>
      </c>
      <c r="Q176" s="180" t="str">
        <f t="shared" si="70"/>
        <v>OK</v>
      </c>
      <c r="R176" s="180" t="str">
        <f t="shared" si="70"/>
        <v>OK</v>
      </c>
      <c r="S176" s="180" t="e">
        <f t="shared" si="70"/>
        <v>#REF!</v>
      </c>
      <c r="T176" s="180" t="e">
        <f t="shared" si="70"/>
        <v>#REF!</v>
      </c>
      <c r="U176" s="180" t="e">
        <f t="shared" si="70"/>
        <v>#REF!</v>
      </c>
      <c r="V176" s="180" t="e">
        <f t="shared" si="70"/>
        <v>#REF!</v>
      </c>
      <c r="W176" s="180" t="e">
        <f t="shared" si="70"/>
        <v>#REF!</v>
      </c>
      <c r="X176" s="180" t="e">
        <f t="shared" si="70"/>
        <v>#REF!</v>
      </c>
      <c r="Y176" s="180" t="e">
        <f t="shared" si="70"/>
        <v>#REF!</v>
      </c>
      <c r="Z176" s="180" t="e">
        <f t="shared" si="70"/>
        <v>#REF!</v>
      </c>
      <c r="AA176" s="180" t="e">
        <f t="shared" si="70"/>
        <v>#REF!</v>
      </c>
      <c r="AB176" s="180" t="e">
        <f t="shared" si="70"/>
        <v>#REF!</v>
      </c>
      <c r="AC176" s="180" t="e">
        <f t="shared" si="70"/>
        <v>#REF!</v>
      </c>
      <c r="AD176" s="180" t="e">
        <f t="shared" si="70"/>
        <v>#REF!</v>
      </c>
      <c r="AE176" s="180" t="e">
        <f t="shared" si="70"/>
        <v>#REF!</v>
      </c>
      <c r="AF176" s="180" t="e">
        <f t="shared" si="70"/>
        <v>#REF!</v>
      </c>
      <c r="AG176" s="180" t="e">
        <f t="shared" si="70"/>
        <v>#REF!</v>
      </c>
      <c r="AH176" s="180" t="e">
        <f t="shared" si="70"/>
        <v>#REF!</v>
      </c>
      <c r="AI176" s="180" t="e">
        <f t="shared" si="70"/>
        <v>#REF!</v>
      </c>
      <c r="AJ176" s="180" t="e">
        <f t="shared" si="70"/>
        <v>#REF!</v>
      </c>
      <c r="AK176" s="180" t="e">
        <f t="shared" si="70"/>
        <v>#REF!</v>
      </c>
      <c r="AL176" s="181" t="e">
        <f t="shared" si="70"/>
        <v>#REF!</v>
      </c>
    </row>
    <row r="177" spans="1:38" s="45" customFormat="1" ht="14.25" outlineLevel="2">
      <c r="A177" s="213"/>
      <c r="B177" s="206"/>
      <c r="C177" s="242" t="s">
        <v>242</v>
      </c>
      <c r="D177" s="49" t="s">
        <v>290</v>
      </c>
      <c r="E177" s="225" t="s">
        <v>28</v>
      </c>
      <c r="F177" s="226" t="s">
        <v>28</v>
      </c>
      <c r="G177" s="226" t="s">
        <v>28</v>
      </c>
      <c r="H177" s="227" t="s">
        <v>28</v>
      </c>
      <c r="I177" s="187" t="str">
        <f aca="true" t="shared" si="71" ref="I177:AL177">IF(I35&gt;=I36,"OK","BŁĄD")</f>
        <v>OK</v>
      </c>
      <c r="J177" s="180" t="str">
        <f t="shared" si="71"/>
        <v>OK</v>
      </c>
      <c r="K177" s="180" t="str">
        <f t="shared" si="71"/>
        <v>OK</v>
      </c>
      <c r="L177" s="180" t="str">
        <f t="shared" si="71"/>
        <v>OK</v>
      </c>
      <c r="M177" s="180" t="str">
        <f t="shared" si="71"/>
        <v>OK</v>
      </c>
      <c r="N177" s="180" t="str">
        <f t="shared" si="71"/>
        <v>OK</v>
      </c>
      <c r="O177" s="180" t="str">
        <f t="shared" si="71"/>
        <v>OK</v>
      </c>
      <c r="P177" s="180" t="str">
        <f t="shared" si="71"/>
        <v>OK</v>
      </c>
      <c r="Q177" s="180" t="str">
        <f t="shared" si="71"/>
        <v>OK</v>
      </c>
      <c r="R177" s="180" t="str">
        <f t="shared" si="71"/>
        <v>OK</v>
      </c>
      <c r="S177" s="180" t="e">
        <f t="shared" si="71"/>
        <v>#REF!</v>
      </c>
      <c r="T177" s="180" t="e">
        <f t="shared" si="71"/>
        <v>#REF!</v>
      </c>
      <c r="U177" s="180" t="e">
        <f t="shared" si="71"/>
        <v>#REF!</v>
      </c>
      <c r="V177" s="180" t="e">
        <f t="shared" si="71"/>
        <v>#REF!</v>
      </c>
      <c r="W177" s="180" t="e">
        <f t="shared" si="71"/>
        <v>#REF!</v>
      </c>
      <c r="X177" s="180" t="e">
        <f t="shared" si="71"/>
        <v>#REF!</v>
      </c>
      <c r="Y177" s="180" t="e">
        <f t="shared" si="71"/>
        <v>#REF!</v>
      </c>
      <c r="Z177" s="180" t="e">
        <f t="shared" si="71"/>
        <v>#REF!</v>
      </c>
      <c r="AA177" s="180" t="e">
        <f t="shared" si="71"/>
        <v>#REF!</v>
      </c>
      <c r="AB177" s="180" t="e">
        <f t="shared" si="71"/>
        <v>#REF!</v>
      </c>
      <c r="AC177" s="180" t="e">
        <f t="shared" si="71"/>
        <v>#REF!</v>
      </c>
      <c r="AD177" s="180" t="e">
        <f t="shared" si="71"/>
        <v>#REF!</v>
      </c>
      <c r="AE177" s="180" t="e">
        <f t="shared" si="71"/>
        <v>#REF!</v>
      </c>
      <c r="AF177" s="180" t="e">
        <f t="shared" si="71"/>
        <v>#REF!</v>
      </c>
      <c r="AG177" s="180" t="e">
        <f t="shared" si="71"/>
        <v>#REF!</v>
      </c>
      <c r="AH177" s="180" t="e">
        <f t="shared" si="71"/>
        <v>#REF!</v>
      </c>
      <c r="AI177" s="180" t="e">
        <f t="shared" si="71"/>
        <v>#REF!</v>
      </c>
      <c r="AJ177" s="180" t="e">
        <f t="shared" si="71"/>
        <v>#REF!</v>
      </c>
      <c r="AK177" s="180" t="e">
        <f t="shared" si="71"/>
        <v>#REF!</v>
      </c>
      <c r="AL177" s="181" t="e">
        <f t="shared" si="71"/>
        <v>#REF!</v>
      </c>
    </row>
    <row r="178" spans="1:38" s="45" customFormat="1" ht="14.25" outlineLevel="2">
      <c r="A178" s="213"/>
      <c r="B178" s="206"/>
      <c r="C178" s="242" t="s">
        <v>243</v>
      </c>
      <c r="D178" s="49" t="s">
        <v>291</v>
      </c>
      <c r="E178" s="225" t="s">
        <v>28</v>
      </c>
      <c r="F178" s="226" t="s">
        <v>28</v>
      </c>
      <c r="G178" s="226" t="s">
        <v>28</v>
      </c>
      <c r="H178" s="227" t="s">
        <v>28</v>
      </c>
      <c r="I178" s="187" t="str">
        <f aca="true" t="shared" si="72" ref="I178:AL178">IF(I37&gt;=I38,"OK","BŁĄD")</f>
        <v>OK</v>
      </c>
      <c r="J178" s="180" t="str">
        <f t="shared" si="72"/>
        <v>OK</v>
      </c>
      <c r="K178" s="180" t="str">
        <f t="shared" si="72"/>
        <v>OK</v>
      </c>
      <c r="L178" s="180" t="str">
        <f t="shared" si="72"/>
        <v>OK</v>
      </c>
      <c r="M178" s="180" t="str">
        <f t="shared" si="72"/>
        <v>OK</v>
      </c>
      <c r="N178" s="180" t="str">
        <f t="shared" si="72"/>
        <v>OK</v>
      </c>
      <c r="O178" s="180" t="str">
        <f t="shared" si="72"/>
        <v>OK</v>
      </c>
      <c r="P178" s="180" t="str">
        <f t="shared" si="72"/>
        <v>OK</v>
      </c>
      <c r="Q178" s="180" t="str">
        <f t="shared" si="72"/>
        <v>OK</v>
      </c>
      <c r="R178" s="180" t="str">
        <f t="shared" si="72"/>
        <v>OK</v>
      </c>
      <c r="S178" s="180" t="e">
        <f t="shared" si="72"/>
        <v>#REF!</v>
      </c>
      <c r="T178" s="180" t="e">
        <f t="shared" si="72"/>
        <v>#REF!</v>
      </c>
      <c r="U178" s="180" t="e">
        <f t="shared" si="72"/>
        <v>#REF!</v>
      </c>
      <c r="V178" s="180" t="e">
        <f t="shared" si="72"/>
        <v>#REF!</v>
      </c>
      <c r="W178" s="180" t="e">
        <f t="shared" si="72"/>
        <v>#REF!</v>
      </c>
      <c r="X178" s="180" t="e">
        <f t="shared" si="72"/>
        <v>#REF!</v>
      </c>
      <c r="Y178" s="180" t="e">
        <f t="shared" si="72"/>
        <v>#REF!</v>
      </c>
      <c r="Z178" s="180" t="e">
        <f t="shared" si="72"/>
        <v>#REF!</v>
      </c>
      <c r="AA178" s="180" t="e">
        <f t="shared" si="72"/>
        <v>#REF!</v>
      </c>
      <c r="AB178" s="180" t="e">
        <f t="shared" si="72"/>
        <v>#REF!</v>
      </c>
      <c r="AC178" s="180" t="e">
        <f t="shared" si="72"/>
        <v>#REF!</v>
      </c>
      <c r="AD178" s="180" t="e">
        <f t="shared" si="72"/>
        <v>#REF!</v>
      </c>
      <c r="AE178" s="180" t="e">
        <f t="shared" si="72"/>
        <v>#REF!</v>
      </c>
      <c r="AF178" s="180" t="e">
        <f t="shared" si="72"/>
        <v>#REF!</v>
      </c>
      <c r="AG178" s="180" t="e">
        <f t="shared" si="72"/>
        <v>#REF!</v>
      </c>
      <c r="AH178" s="180" t="e">
        <f t="shared" si="72"/>
        <v>#REF!</v>
      </c>
      <c r="AI178" s="180" t="e">
        <f t="shared" si="72"/>
        <v>#REF!</v>
      </c>
      <c r="AJ178" s="180" t="e">
        <f t="shared" si="72"/>
        <v>#REF!</v>
      </c>
      <c r="AK178" s="180" t="e">
        <f t="shared" si="72"/>
        <v>#REF!</v>
      </c>
      <c r="AL178" s="181" t="e">
        <f t="shared" si="72"/>
        <v>#REF!</v>
      </c>
    </row>
    <row r="179" spans="1:38" s="45" customFormat="1" ht="14.25" outlineLevel="2">
      <c r="A179" s="213"/>
      <c r="B179" s="206"/>
      <c r="C179" s="242" t="s">
        <v>244</v>
      </c>
      <c r="D179" s="49" t="s">
        <v>292</v>
      </c>
      <c r="E179" s="225" t="s">
        <v>28</v>
      </c>
      <c r="F179" s="226" t="s">
        <v>28</v>
      </c>
      <c r="G179" s="226" t="s">
        <v>28</v>
      </c>
      <c r="H179" s="227" t="s">
        <v>28</v>
      </c>
      <c r="I179" s="187" t="str">
        <f aca="true" t="shared" si="73" ref="I179:AL179">IF(I39&gt;=I40,"OK","BŁĄD")</f>
        <v>OK</v>
      </c>
      <c r="J179" s="180" t="str">
        <f t="shared" si="73"/>
        <v>OK</v>
      </c>
      <c r="K179" s="180" t="str">
        <f t="shared" si="73"/>
        <v>OK</v>
      </c>
      <c r="L179" s="180" t="str">
        <f t="shared" si="73"/>
        <v>OK</v>
      </c>
      <c r="M179" s="180" t="str">
        <f t="shared" si="73"/>
        <v>OK</v>
      </c>
      <c r="N179" s="180" t="str">
        <f t="shared" si="73"/>
        <v>OK</v>
      </c>
      <c r="O179" s="180" t="str">
        <f t="shared" si="73"/>
        <v>OK</v>
      </c>
      <c r="P179" s="180" t="str">
        <f t="shared" si="73"/>
        <v>OK</v>
      </c>
      <c r="Q179" s="180" t="str">
        <f t="shared" si="73"/>
        <v>OK</v>
      </c>
      <c r="R179" s="180" t="str">
        <f t="shared" si="73"/>
        <v>OK</v>
      </c>
      <c r="S179" s="180" t="e">
        <f t="shared" si="73"/>
        <v>#REF!</v>
      </c>
      <c r="T179" s="180" t="e">
        <f t="shared" si="73"/>
        <v>#REF!</v>
      </c>
      <c r="U179" s="180" t="e">
        <f t="shared" si="73"/>
        <v>#REF!</v>
      </c>
      <c r="V179" s="180" t="e">
        <f t="shared" si="73"/>
        <v>#REF!</v>
      </c>
      <c r="W179" s="180" t="e">
        <f t="shared" si="73"/>
        <v>#REF!</v>
      </c>
      <c r="X179" s="180" t="e">
        <f t="shared" si="73"/>
        <v>#REF!</v>
      </c>
      <c r="Y179" s="180" t="e">
        <f t="shared" si="73"/>
        <v>#REF!</v>
      </c>
      <c r="Z179" s="180" t="e">
        <f t="shared" si="73"/>
        <v>#REF!</v>
      </c>
      <c r="AA179" s="180" t="e">
        <f t="shared" si="73"/>
        <v>#REF!</v>
      </c>
      <c r="AB179" s="180" t="e">
        <f t="shared" si="73"/>
        <v>#REF!</v>
      </c>
      <c r="AC179" s="180" t="e">
        <f t="shared" si="73"/>
        <v>#REF!</v>
      </c>
      <c r="AD179" s="180" t="e">
        <f t="shared" si="73"/>
        <v>#REF!</v>
      </c>
      <c r="AE179" s="180" t="e">
        <f t="shared" si="73"/>
        <v>#REF!</v>
      </c>
      <c r="AF179" s="180" t="e">
        <f t="shared" si="73"/>
        <v>#REF!</v>
      </c>
      <c r="AG179" s="180" t="e">
        <f t="shared" si="73"/>
        <v>#REF!</v>
      </c>
      <c r="AH179" s="180" t="e">
        <f t="shared" si="73"/>
        <v>#REF!</v>
      </c>
      <c r="AI179" s="180" t="e">
        <f t="shared" si="73"/>
        <v>#REF!</v>
      </c>
      <c r="AJ179" s="180" t="e">
        <f t="shared" si="73"/>
        <v>#REF!</v>
      </c>
      <c r="AK179" s="180" t="e">
        <f t="shared" si="73"/>
        <v>#REF!</v>
      </c>
      <c r="AL179" s="181" t="e">
        <f t="shared" si="73"/>
        <v>#REF!</v>
      </c>
    </row>
    <row r="180" spans="1:38" s="45" customFormat="1" ht="14.25" outlineLevel="2">
      <c r="A180" s="213"/>
      <c r="B180" s="206"/>
      <c r="C180" s="242" t="s">
        <v>247</v>
      </c>
      <c r="D180" s="49" t="s">
        <v>295</v>
      </c>
      <c r="E180" s="225" t="s">
        <v>28</v>
      </c>
      <c r="F180" s="226" t="s">
        <v>28</v>
      </c>
      <c r="G180" s="226" t="s">
        <v>28</v>
      </c>
      <c r="H180" s="227" t="s">
        <v>28</v>
      </c>
      <c r="I180" s="187" t="str">
        <f aca="true" t="shared" si="74" ref="I180:AL180">IF(I42&gt;=I43,"OK","BŁĄD")</f>
        <v>OK</v>
      </c>
      <c r="J180" s="180" t="str">
        <f t="shared" si="74"/>
        <v>OK</v>
      </c>
      <c r="K180" s="180" t="str">
        <f t="shared" si="74"/>
        <v>OK</v>
      </c>
      <c r="L180" s="180" t="str">
        <f t="shared" si="74"/>
        <v>OK</v>
      </c>
      <c r="M180" s="180" t="str">
        <f t="shared" si="74"/>
        <v>OK</v>
      </c>
      <c r="N180" s="180" t="str">
        <f t="shared" si="74"/>
        <v>OK</v>
      </c>
      <c r="O180" s="180" t="str">
        <f t="shared" si="74"/>
        <v>OK</v>
      </c>
      <c r="P180" s="180" t="str">
        <f t="shared" si="74"/>
        <v>OK</v>
      </c>
      <c r="Q180" s="180" t="str">
        <f t="shared" si="74"/>
        <v>OK</v>
      </c>
      <c r="R180" s="180" t="str">
        <f t="shared" si="74"/>
        <v>OK</v>
      </c>
      <c r="S180" s="180" t="e">
        <f t="shared" si="74"/>
        <v>#REF!</v>
      </c>
      <c r="T180" s="180" t="e">
        <f t="shared" si="74"/>
        <v>#REF!</v>
      </c>
      <c r="U180" s="180" t="e">
        <f t="shared" si="74"/>
        <v>#REF!</v>
      </c>
      <c r="V180" s="180" t="e">
        <f t="shared" si="74"/>
        <v>#REF!</v>
      </c>
      <c r="W180" s="180" t="e">
        <f t="shared" si="74"/>
        <v>#REF!</v>
      </c>
      <c r="X180" s="180" t="e">
        <f t="shared" si="74"/>
        <v>#REF!</v>
      </c>
      <c r="Y180" s="180" t="e">
        <f t="shared" si="74"/>
        <v>#REF!</v>
      </c>
      <c r="Z180" s="180" t="e">
        <f t="shared" si="74"/>
        <v>#REF!</v>
      </c>
      <c r="AA180" s="180" t="e">
        <f t="shared" si="74"/>
        <v>#REF!</v>
      </c>
      <c r="AB180" s="180" t="e">
        <f t="shared" si="74"/>
        <v>#REF!</v>
      </c>
      <c r="AC180" s="180" t="e">
        <f t="shared" si="74"/>
        <v>#REF!</v>
      </c>
      <c r="AD180" s="180" t="e">
        <f t="shared" si="74"/>
        <v>#REF!</v>
      </c>
      <c r="AE180" s="180" t="e">
        <f t="shared" si="74"/>
        <v>#REF!</v>
      </c>
      <c r="AF180" s="180" t="e">
        <f t="shared" si="74"/>
        <v>#REF!</v>
      </c>
      <c r="AG180" s="180" t="e">
        <f t="shared" si="74"/>
        <v>#REF!</v>
      </c>
      <c r="AH180" s="180" t="e">
        <f t="shared" si="74"/>
        <v>#REF!</v>
      </c>
      <c r="AI180" s="180" t="e">
        <f t="shared" si="74"/>
        <v>#REF!</v>
      </c>
      <c r="AJ180" s="180" t="e">
        <f t="shared" si="74"/>
        <v>#REF!</v>
      </c>
      <c r="AK180" s="180" t="e">
        <f t="shared" si="74"/>
        <v>#REF!</v>
      </c>
      <c r="AL180" s="181" t="e">
        <f t="shared" si="74"/>
        <v>#REF!</v>
      </c>
    </row>
    <row r="181" spans="1:38" s="45" customFormat="1" ht="14.25" outlineLevel="2">
      <c r="A181" s="213"/>
      <c r="B181" s="206"/>
      <c r="C181" s="242" t="s">
        <v>245</v>
      </c>
      <c r="D181" s="49" t="s">
        <v>293</v>
      </c>
      <c r="E181" s="225" t="s">
        <v>28</v>
      </c>
      <c r="F181" s="226" t="s">
        <v>28</v>
      </c>
      <c r="G181" s="226" t="s">
        <v>28</v>
      </c>
      <c r="H181" s="227" t="s">
        <v>28</v>
      </c>
      <c r="I181" s="187" t="str">
        <f aca="true" t="shared" si="75" ref="I181:AL181">IF(I42&gt;=I64,"OK","BŁĄD")</f>
        <v>OK</v>
      </c>
      <c r="J181" s="180" t="str">
        <f t="shared" si="75"/>
        <v>OK</v>
      </c>
      <c r="K181" s="180" t="str">
        <f t="shared" si="75"/>
        <v>OK</v>
      </c>
      <c r="L181" s="180" t="str">
        <f t="shared" si="75"/>
        <v>OK</v>
      </c>
      <c r="M181" s="180" t="str">
        <f t="shared" si="75"/>
        <v>OK</v>
      </c>
      <c r="N181" s="180" t="str">
        <f t="shared" si="75"/>
        <v>OK</v>
      </c>
      <c r="O181" s="180" t="str">
        <f t="shared" si="75"/>
        <v>OK</v>
      </c>
      <c r="P181" s="180" t="str">
        <f t="shared" si="75"/>
        <v>OK</v>
      </c>
      <c r="Q181" s="180" t="str">
        <f t="shared" si="75"/>
        <v>OK</v>
      </c>
      <c r="R181" s="180" t="str">
        <f t="shared" si="75"/>
        <v>OK</v>
      </c>
      <c r="S181" s="180" t="e">
        <f t="shared" si="75"/>
        <v>#REF!</v>
      </c>
      <c r="T181" s="180" t="e">
        <f t="shared" si="75"/>
        <v>#REF!</v>
      </c>
      <c r="U181" s="180" t="e">
        <f t="shared" si="75"/>
        <v>#REF!</v>
      </c>
      <c r="V181" s="180" t="e">
        <f t="shared" si="75"/>
        <v>#REF!</v>
      </c>
      <c r="W181" s="180" t="e">
        <f t="shared" si="75"/>
        <v>#REF!</v>
      </c>
      <c r="X181" s="180" t="e">
        <f t="shared" si="75"/>
        <v>#REF!</v>
      </c>
      <c r="Y181" s="180" t="e">
        <f t="shared" si="75"/>
        <v>#REF!</v>
      </c>
      <c r="Z181" s="180" t="e">
        <f t="shared" si="75"/>
        <v>#REF!</v>
      </c>
      <c r="AA181" s="180" t="e">
        <f t="shared" si="75"/>
        <v>#REF!</v>
      </c>
      <c r="AB181" s="180" t="e">
        <f t="shared" si="75"/>
        <v>#REF!</v>
      </c>
      <c r="AC181" s="180" t="e">
        <f t="shared" si="75"/>
        <v>#REF!</v>
      </c>
      <c r="AD181" s="180" t="e">
        <f t="shared" si="75"/>
        <v>#REF!</v>
      </c>
      <c r="AE181" s="180" t="e">
        <f t="shared" si="75"/>
        <v>#REF!</v>
      </c>
      <c r="AF181" s="180" t="e">
        <f t="shared" si="75"/>
        <v>#REF!</v>
      </c>
      <c r="AG181" s="180" t="e">
        <f t="shared" si="75"/>
        <v>#REF!</v>
      </c>
      <c r="AH181" s="180" t="e">
        <f t="shared" si="75"/>
        <v>#REF!</v>
      </c>
      <c r="AI181" s="180" t="e">
        <f t="shared" si="75"/>
        <v>#REF!</v>
      </c>
      <c r="AJ181" s="180" t="e">
        <f t="shared" si="75"/>
        <v>#REF!</v>
      </c>
      <c r="AK181" s="180" t="e">
        <f t="shared" si="75"/>
        <v>#REF!</v>
      </c>
      <c r="AL181" s="181" t="e">
        <f t="shared" si="75"/>
        <v>#REF!</v>
      </c>
    </row>
    <row r="182" spans="1:38" s="45" customFormat="1" ht="14.25" outlineLevel="2">
      <c r="A182" s="213"/>
      <c r="B182" s="206"/>
      <c r="C182" s="242" t="s">
        <v>246</v>
      </c>
      <c r="D182" s="49" t="s">
        <v>294</v>
      </c>
      <c r="E182" s="225" t="s">
        <v>28</v>
      </c>
      <c r="F182" s="226" t="s">
        <v>28</v>
      </c>
      <c r="G182" s="226" t="s">
        <v>28</v>
      </c>
      <c r="H182" s="227" t="s">
        <v>28</v>
      </c>
      <c r="I182" s="187" t="str">
        <f aca="true" t="shared" si="76" ref="I182:AL182">IF(I42&gt;=I104,"OK","BŁĄD")</f>
        <v>OK</v>
      </c>
      <c r="J182" s="180" t="str">
        <f t="shared" si="76"/>
        <v>OK</v>
      </c>
      <c r="K182" s="180" t="str">
        <f t="shared" si="76"/>
        <v>OK</v>
      </c>
      <c r="L182" s="180" t="str">
        <f t="shared" si="76"/>
        <v>OK</v>
      </c>
      <c r="M182" s="180" t="str">
        <f t="shared" si="76"/>
        <v>OK</v>
      </c>
      <c r="N182" s="180" t="str">
        <f t="shared" si="76"/>
        <v>OK</v>
      </c>
      <c r="O182" s="180" t="str">
        <f t="shared" si="76"/>
        <v>OK</v>
      </c>
      <c r="P182" s="180" t="str">
        <f t="shared" si="76"/>
        <v>OK</v>
      </c>
      <c r="Q182" s="180" t="str">
        <f t="shared" si="76"/>
        <v>OK</v>
      </c>
      <c r="R182" s="180" t="str">
        <f t="shared" si="76"/>
        <v>OK</v>
      </c>
      <c r="S182" s="180" t="e">
        <f t="shared" si="76"/>
        <v>#REF!</v>
      </c>
      <c r="T182" s="180" t="e">
        <f t="shared" si="76"/>
        <v>#REF!</v>
      </c>
      <c r="U182" s="180" t="e">
        <f t="shared" si="76"/>
        <v>#REF!</v>
      </c>
      <c r="V182" s="180" t="e">
        <f t="shared" si="76"/>
        <v>#REF!</v>
      </c>
      <c r="W182" s="180" t="e">
        <f t="shared" si="76"/>
        <v>#REF!</v>
      </c>
      <c r="X182" s="180" t="e">
        <f t="shared" si="76"/>
        <v>#REF!</v>
      </c>
      <c r="Y182" s="180" t="e">
        <f t="shared" si="76"/>
        <v>#REF!</v>
      </c>
      <c r="Z182" s="180" t="e">
        <f t="shared" si="76"/>
        <v>#REF!</v>
      </c>
      <c r="AA182" s="180" t="e">
        <f t="shared" si="76"/>
        <v>#REF!</v>
      </c>
      <c r="AB182" s="180" t="e">
        <f t="shared" si="76"/>
        <v>#REF!</v>
      </c>
      <c r="AC182" s="180" t="e">
        <f t="shared" si="76"/>
        <v>#REF!</v>
      </c>
      <c r="AD182" s="180" t="e">
        <f t="shared" si="76"/>
        <v>#REF!</v>
      </c>
      <c r="AE182" s="180" t="e">
        <f t="shared" si="76"/>
        <v>#REF!</v>
      </c>
      <c r="AF182" s="180" t="e">
        <f t="shared" si="76"/>
        <v>#REF!</v>
      </c>
      <c r="AG182" s="180" t="e">
        <f t="shared" si="76"/>
        <v>#REF!</v>
      </c>
      <c r="AH182" s="180" t="e">
        <f t="shared" si="76"/>
        <v>#REF!</v>
      </c>
      <c r="AI182" s="180" t="e">
        <f t="shared" si="76"/>
        <v>#REF!</v>
      </c>
      <c r="AJ182" s="180" t="e">
        <f t="shared" si="76"/>
        <v>#REF!</v>
      </c>
      <c r="AK182" s="180" t="e">
        <f t="shared" si="76"/>
        <v>#REF!</v>
      </c>
      <c r="AL182" s="181" t="e">
        <f t="shared" si="76"/>
        <v>#REF!</v>
      </c>
    </row>
    <row r="183" spans="1:38" s="45" customFormat="1" ht="14.25" outlineLevel="2">
      <c r="A183" s="213"/>
      <c r="B183" s="206"/>
      <c r="C183" s="242" t="s">
        <v>249</v>
      </c>
      <c r="D183" s="49" t="s">
        <v>297</v>
      </c>
      <c r="E183" s="225" t="s">
        <v>28</v>
      </c>
      <c r="F183" s="226" t="s">
        <v>28</v>
      </c>
      <c r="G183" s="226" t="s">
        <v>28</v>
      </c>
      <c r="H183" s="227" t="s">
        <v>28</v>
      </c>
      <c r="I183" s="187" t="e">
        <f aca="true" t="shared" si="77" ref="I183:AL183">IF(I48&gt;=I49,"OK","BŁĄD")</f>
        <v>#REF!</v>
      </c>
      <c r="J183" s="180" t="e">
        <f t="shared" si="77"/>
        <v>#REF!</v>
      </c>
      <c r="K183" s="180" t="e">
        <f t="shared" si="77"/>
        <v>#REF!</v>
      </c>
      <c r="L183" s="180" t="e">
        <f t="shared" si="77"/>
        <v>#REF!</v>
      </c>
      <c r="M183" s="180" t="e">
        <f t="shared" si="77"/>
        <v>#REF!</v>
      </c>
      <c r="N183" s="180" t="e">
        <f t="shared" si="77"/>
        <v>#REF!</v>
      </c>
      <c r="O183" s="180" t="e">
        <f t="shared" si="77"/>
        <v>#REF!</v>
      </c>
      <c r="P183" s="180" t="e">
        <f t="shared" si="77"/>
        <v>#REF!</v>
      </c>
      <c r="Q183" s="180" t="e">
        <f t="shared" si="77"/>
        <v>#REF!</v>
      </c>
      <c r="R183" s="180" t="e">
        <f t="shared" si="77"/>
        <v>#REF!</v>
      </c>
      <c r="S183" s="180" t="e">
        <f t="shared" si="77"/>
        <v>#REF!</v>
      </c>
      <c r="T183" s="180" t="e">
        <f t="shared" si="77"/>
        <v>#REF!</v>
      </c>
      <c r="U183" s="180" t="e">
        <f t="shared" si="77"/>
        <v>#REF!</v>
      </c>
      <c r="V183" s="180" t="e">
        <f t="shared" si="77"/>
        <v>#REF!</v>
      </c>
      <c r="W183" s="180" t="e">
        <f t="shared" si="77"/>
        <v>#REF!</v>
      </c>
      <c r="X183" s="180" t="e">
        <f t="shared" si="77"/>
        <v>#REF!</v>
      </c>
      <c r="Y183" s="180" t="e">
        <f t="shared" si="77"/>
        <v>#REF!</v>
      </c>
      <c r="Z183" s="180" t="e">
        <f t="shared" si="77"/>
        <v>#REF!</v>
      </c>
      <c r="AA183" s="180" t="e">
        <f t="shared" si="77"/>
        <v>#REF!</v>
      </c>
      <c r="AB183" s="180" t="e">
        <f t="shared" si="77"/>
        <v>#REF!</v>
      </c>
      <c r="AC183" s="180" t="e">
        <f t="shared" si="77"/>
        <v>#REF!</v>
      </c>
      <c r="AD183" s="180" t="e">
        <f t="shared" si="77"/>
        <v>#REF!</v>
      </c>
      <c r="AE183" s="180" t="e">
        <f t="shared" si="77"/>
        <v>#REF!</v>
      </c>
      <c r="AF183" s="180" t="e">
        <f t="shared" si="77"/>
        <v>#REF!</v>
      </c>
      <c r="AG183" s="180" t="e">
        <f t="shared" si="77"/>
        <v>#REF!</v>
      </c>
      <c r="AH183" s="180" t="e">
        <f t="shared" si="77"/>
        <v>#REF!</v>
      </c>
      <c r="AI183" s="180" t="e">
        <f t="shared" si="77"/>
        <v>#REF!</v>
      </c>
      <c r="AJ183" s="180" t="e">
        <f t="shared" si="77"/>
        <v>#REF!</v>
      </c>
      <c r="AK183" s="180" t="e">
        <f t="shared" si="77"/>
        <v>#REF!</v>
      </c>
      <c r="AL183" s="181" t="e">
        <f t="shared" si="77"/>
        <v>#REF!</v>
      </c>
    </row>
    <row r="184" spans="1:38" s="45" customFormat="1" ht="14.25" outlineLevel="2">
      <c r="A184" s="213"/>
      <c r="B184" s="206"/>
      <c r="C184" s="242" t="s">
        <v>248</v>
      </c>
      <c r="D184" s="49" t="s">
        <v>296</v>
      </c>
      <c r="E184" s="225" t="s">
        <v>28</v>
      </c>
      <c r="F184" s="226" t="s">
        <v>28</v>
      </c>
      <c r="G184" s="226" t="s">
        <v>28</v>
      </c>
      <c r="H184" s="227" t="s">
        <v>28</v>
      </c>
      <c r="I184" s="187" t="e">
        <f aca="true" t="shared" si="78" ref="I184:AL184">IF(I48&gt;=I105,"OK","BŁĄD")</f>
        <v>#REF!</v>
      </c>
      <c r="J184" s="180" t="e">
        <f t="shared" si="78"/>
        <v>#REF!</v>
      </c>
      <c r="K184" s="180" t="e">
        <f t="shared" si="78"/>
        <v>#REF!</v>
      </c>
      <c r="L184" s="180" t="e">
        <f t="shared" si="78"/>
        <v>#REF!</v>
      </c>
      <c r="M184" s="180" t="e">
        <f t="shared" si="78"/>
        <v>#REF!</v>
      </c>
      <c r="N184" s="180" t="e">
        <f t="shared" si="78"/>
        <v>#REF!</v>
      </c>
      <c r="O184" s="180" t="e">
        <f t="shared" si="78"/>
        <v>#REF!</v>
      </c>
      <c r="P184" s="180" t="e">
        <f t="shared" si="78"/>
        <v>#REF!</v>
      </c>
      <c r="Q184" s="180" t="e">
        <f t="shared" si="78"/>
        <v>#REF!</v>
      </c>
      <c r="R184" s="180" t="e">
        <f t="shared" si="78"/>
        <v>#REF!</v>
      </c>
      <c r="S184" s="180" t="e">
        <f t="shared" si="78"/>
        <v>#REF!</v>
      </c>
      <c r="T184" s="180" t="e">
        <f t="shared" si="78"/>
        <v>#REF!</v>
      </c>
      <c r="U184" s="180" t="e">
        <f t="shared" si="78"/>
        <v>#REF!</v>
      </c>
      <c r="V184" s="180" t="e">
        <f t="shared" si="78"/>
        <v>#REF!</v>
      </c>
      <c r="W184" s="180" t="e">
        <f t="shared" si="78"/>
        <v>#REF!</v>
      </c>
      <c r="X184" s="180" t="e">
        <f t="shared" si="78"/>
        <v>#REF!</v>
      </c>
      <c r="Y184" s="180" t="e">
        <f t="shared" si="78"/>
        <v>#REF!</v>
      </c>
      <c r="Z184" s="180" t="e">
        <f t="shared" si="78"/>
        <v>#REF!</v>
      </c>
      <c r="AA184" s="180" t="e">
        <f t="shared" si="78"/>
        <v>#REF!</v>
      </c>
      <c r="AB184" s="180" t="e">
        <f t="shared" si="78"/>
        <v>#REF!</v>
      </c>
      <c r="AC184" s="180" t="e">
        <f t="shared" si="78"/>
        <v>#REF!</v>
      </c>
      <c r="AD184" s="180" t="e">
        <f t="shared" si="78"/>
        <v>#REF!</v>
      </c>
      <c r="AE184" s="180" t="e">
        <f t="shared" si="78"/>
        <v>#REF!</v>
      </c>
      <c r="AF184" s="180" t="e">
        <f t="shared" si="78"/>
        <v>#REF!</v>
      </c>
      <c r="AG184" s="180" t="e">
        <f t="shared" si="78"/>
        <v>#REF!</v>
      </c>
      <c r="AH184" s="180" t="e">
        <f t="shared" si="78"/>
        <v>#REF!</v>
      </c>
      <c r="AI184" s="180" t="e">
        <f t="shared" si="78"/>
        <v>#REF!</v>
      </c>
      <c r="AJ184" s="180" t="e">
        <f t="shared" si="78"/>
        <v>#REF!</v>
      </c>
      <c r="AK184" s="180" t="e">
        <f t="shared" si="78"/>
        <v>#REF!</v>
      </c>
      <c r="AL184" s="181" t="e">
        <f t="shared" si="78"/>
        <v>#REF!</v>
      </c>
    </row>
    <row r="185" spans="1:38" s="45" customFormat="1" ht="14.25" outlineLevel="2">
      <c r="A185" s="213"/>
      <c r="B185" s="206"/>
      <c r="C185" s="242" t="s">
        <v>250</v>
      </c>
      <c r="D185" s="49" t="s">
        <v>298</v>
      </c>
      <c r="E185" s="225" t="s">
        <v>28</v>
      </c>
      <c r="F185" s="226" t="s">
        <v>28</v>
      </c>
      <c r="G185" s="226" t="s">
        <v>28</v>
      </c>
      <c r="H185" s="227" t="s">
        <v>28</v>
      </c>
      <c r="I185" s="187" t="e">
        <f aca="true" t="shared" si="79" ref="I185:AL185">IF(I49&gt;=I96,"OK","BŁĄD")</f>
        <v>#REF!</v>
      </c>
      <c r="J185" s="180" t="e">
        <f t="shared" si="79"/>
        <v>#REF!</v>
      </c>
      <c r="K185" s="180" t="e">
        <f t="shared" si="79"/>
        <v>#REF!</v>
      </c>
      <c r="L185" s="180" t="e">
        <f t="shared" si="79"/>
        <v>#REF!</v>
      </c>
      <c r="M185" s="180" t="e">
        <f t="shared" si="79"/>
        <v>#REF!</v>
      </c>
      <c r="N185" s="180" t="e">
        <f t="shared" si="79"/>
        <v>#REF!</v>
      </c>
      <c r="O185" s="180" t="e">
        <f t="shared" si="79"/>
        <v>#REF!</v>
      </c>
      <c r="P185" s="180" t="e">
        <f t="shared" si="79"/>
        <v>#REF!</v>
      </c>
      <c r="Q185" s="180" t="e">
        <f t="shared" si="79"/>
        <v>#REF!</v>
      </c>
      <c r="R185" s="180" t="e">
        <f t="shared" si="79"/>
        <v>#REF!</v>
      </c>
      <c r="S185" s="180" t="e">
        <f t="shared" si="79"/>
        <v>#REF!</v>
      </c>
      <c r="T185" s="180" t="e">
        <f t="shared" si="79"/>
        <v>#REF!</v>
      </c>
      <c r="U185" s="180" t="e">
        <f t="shared" si="79"/>
        <v>#REF!</v>
      </c>
      <c r="V185" s="180" t="e">
        <f t="shared" si="79"/>
        <v>#REF!</v>
      </c>
      <c r="W185" s="180" t="e">
        <f t="shared" si="79"/>
        <v>#REF!</v>
      </c>
      <c r="X185" s="180" t="e">
        <f t="shared" si="79"/>
        <v>#REF!</v>
      </c>
      <c r="Y185" s="180" t="e">
        <f t="shared" si="79"/>
        <v>#REF!</v>
      </c>
      <c r="Z185" s="180" t="e">
        <f t="shared" si="79"/>
        <v>#REF!</v>
      </c>
      <c r="AA185" s="180" t="e">
        <f t="shared" si="79"/>
        <v>#REF!</v>
      </c>
      <c r="AB185" s="180" t="e">
        <f t="shared" si="79"/>
        <v>#REF!</v>
      </c>
      <c r="AC185" s="180" t="e">
        <f t="shared" si="79"/>
        <v>#REF!</v>
      </c>
      <c r="AD185" s="180" t="e">
        <f t="shared" si="79"/>
        <v>#REF!</v>
      </c>
      <c r="AE185" s="180" t="e">
        <f t="shared" si="79"/>
        <v>#REF!</v>
      </c>
      <c r="AF185" s="180" t="e">
        <f t="shared" si="79"/>
        <v>#REF!</v>
      </c>
      <c r="AG185" s="180" t="e">
        <f t="shared" si="79"/>
        <v>#REF!</v>
      </c>
      <c r="AH185" s="180" t="e">
        <f t="shared" si="79"/>
        <v>#REF!</v>
      </c>
      <c r="AI185" s="180" t="e">
        <f t="shared" si="79"/>
        <v>#REF!</v>
      </c>
      <c r="AJ185" s="180" t="e">
        <f t="shared" si="79"/>
        <v>#REF!</v>
      </c>
      <c r="AK185" s="180" t="e">
        <f t="shared" si="79"/>
        <v>#REF!</v>
      </c>
      <c r="AL185" s="181" t="e">
        <f t="shared" si="79"/>
        <v>#REF!</v>
      </c>
    </row>
    <row r="186" spans="1:38" s="45" customFormat="1" ht="14.25" outlineLevel="2">
      <c r="A186" s="213"/>
      <c r="B186" s="207"/>
      <c r="C186" s="208" t="s">
        <v>251</v>
      </c>
      <c r="D186" s="50" t="s">
        <v>299</v>
      </c>
      <c r="E186" s="228" t="s">
        <v>28</v>
      </c>
      <c r="F186" s="229" t="s">
        <v>28</v>
      </c>
      <c r="G186" s="229" t="s">
        <v>28</v>
      </c>
      <c r="H186" s="230" t="s">
        <v>28</v>
      </c>
      <c r="I186" s="188" t="str">
        <f aca="true" t="shared" si="80" ref="I186:AL186">IF(I26&lt;&gt;0,IF(I27&lt;&gt;0,"OK","BŁĄD"),"N/D")</f>
        <v>OK</v>
      </c>
      <c r="J186" s="184" t="str">
        <f t="shared" si="80"/>
        <v>OK</v>
      </c>
      <c r="K186" s="184" t="str">
        <f t="shared" si="80"/>
        <v>OK</v>
      </c>
      <c r="L186" s="184" t="str">
        <f t="shared" si="80"/>
        <v>OK</v>
      </c>
      <c r="M186" s="184" t="str">
        <f t="shared" si="80"/>
        <v>OK</v>
      </c>
      <c r="N186" s="184" t="str">
        <f t="shared" si="80"/>
        <v>OK</v>
      </c>
      <c r="O186" s="184" t="str">
        <f t="shared" si="80"/>
        <v>OK</v>
      </c>
      <c r="P186" s="184" t="str">
        <f t="shared" si="80"/>
        <v>OK</v>
      </c>
      <c r="Q186" s="184" t="str">
        <f t="shared" si="80"/>
        <v>OK</v>
      </c>
      <c r="R186" s="184" t="str">
        <f t="shared" si="80"/>
        <v>N/D</v>
      </c>
      <c r="S186" s="184" t="e">
        <f t="shared" si="80"/>
        <v>#REF!</v>
      </c>
      <c r="T186" s="184" t="e">
        <f t="shared" si="80"/>
        <v>#REF!</v>
      </c>
      <c r="U186" s="184" t="e">
        <f t="shared" si="80"/>
        <v>#REF!</v>
      </c>
      <c r="V186" s="184" t="e">
        <f t="shared" si="80"/>
        <v>#REF!</v>
      </c>
      <c r="W186" s="184" t="e">
        <f t="shared" si="80"/>
        <v>#REF!</v>
      </c>
      <c r="X186" s="184" t="e">
        <f t="shared" si="80"/>
        <v>#REF!</v>
      </c>
      <c r="Y186" s="184" t="e">
        <f t="shared" si="80"/>
        <v>#REF!</v>
      </c>
      <c r="Z186" s="184" t="e">
        <f t="shared" si="80"/>
        <v>#REF!</v>
      </c>
      <c r="AA186" s="184" t="e">
        <f t="shared" si="80"/>
        <v>#REF!</v>
      </c>
      <c r="AB186" s="184" t="e">
        <f t="shared" si="80"/>
        <v>#REF!</v>
      </c>
      <c r="AC186" s="184" t="e">
        <f t="shared" si="80"/>
        <v>#REF!</v>
      </c>
      <c r="AD186" s="184" t="e">
        <f t="shared" si="80"/>
        <v>#REF!</v>
      </c>
      <c r="AE186" s="184" t="e">
        <f t="shared" si="80"/>
        <v>#REF!</v>
      </c>
      <c r="AF186" s="184" t="e">
        <f t="shared" si="80"/>
        <v>#REF!</v>
      </c>
      <c r="AG186" s="184" t="e">
        <f t="shared" si="80"/>
        <v>#REF!</v>
      </c>
      <c r="AH186" s="184" t="e">
        <f t="shared" si="80"/>
        <v>#REF!</v>
      </c>
      <c r="AI186" s="184" t="e">
        <f t="shared" si="80"/>
        <v>#REF!</v>
      </c>
      <c r="AJ186" s="184" t="e">
        <f t="shared" si="80"/>
        <v>#REF!</v>
      </c>
      <c r="AK186" s="184" t="e">
        <f t="shared" si="80"/>
        <v>#REF!</v>
      </c>
      <c r="AL186" s="185" t="e">
        <f t="shared" si="80"/>
        <v>#REF!</v>
      </c>
    </row>
    <row r="187" spans="1:38" s="45" customFormat="1" ht="14.25" outlineLevel="2">
      <c r="A187" s="213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3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3"/>
      <c r="B189" s="105"/>
      <c r="C189" s="262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35686877.99</v>
      </c>
      <c r="J189" s="108">
        <f t="shared" si="81"/>
        <v>37978209</v>
      </c>
      <c r="K189" s="108">
        <f t="shared" si="81"/>
        <v>38085749</v>
      </c>
      <c r="L189" s="108">
        <f t="shared" si="81"/>
        <v>36097762</v>
      </c>
      <c r="M189" s="108">
        <f t="shared" si="81"/>
        <v>36458762</v>
      </c>
      <c r="N189" s="108">
        <f t="shared" si="81"/>
        <v>36458762</v>
      </c>
      <c r="O189" s="108">
        <f t="shared" si="81"/>
        <v>36458762</v>
      </c>
      <c r="P189" s="108">
        <f t="shared" si="81"/>
        <v>36458762</v>
      </c>
      <c r="Q189" s="108">
        <f t="shared" si="81"/>
        <v>36458762</v>
      </c>
      <c r="R189" s="108">
        <f t="shared" si="81"/>
        <v>36458762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3"/>
      <c r="B190" s="105"/>
      <c r="C190" s="262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40048350.71</v>
      </c>
      <c r="J190" s="112">
        <f t="shared" si="82"/>
        <v>39521456</v>
      </c>
      <c r="K190" s="112">
        <f t="shared" si="82"/>
        <v>35189726</v>
      </c>
      <c r="L190" s="112">
        <f t="shared" si="82"/>
        <v>35541686</v>
      </c>
      <c r="M190" s="112">
        <f t="shared" si="82"/>
        <v>35921762</v>
      </c>
      <c r="N190" s="112">
        <f t="shared" si="82"/>
        <v>35958762</v>
      </c>
      <c r="O190" s="112">
        <f t="shared" si="82"/>
        <v>35758762</v>
      </c>
      <c r="P190" s="112">
        <f t="shared" si="82"/>
        <v>35758762</v>
      </c>
      <c r="Q190" s="112">
        <f t="shared" si="82"/>
        <v>35902305</v>
      </c>
      <c r="R190" s="112">
        <f t="shared" si="82"/>
        <v>36458762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3"/>
      <c r="B191" s="105"/>
      <c r="C191" s="262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-4361472.719999999</v>
      </c>
      <c r="J191" s="112">
        <f t="shared" si="83"/>
        <v>-1543247</v>
      </c>
      <c r="K191" s="112">
        <f t="shared" si="83"/>
        <v>2896023</v>
      </c>
      <c r="L191" s="112">
        <f t="shared" si="83"/>
        <v>556076</v>
      </c>
      <c r="M191" s="112">
        <f t="shared" si="83"/>
        <v>537000</v>
      </c>
      <c r="N191" s="112">
        <f t="shared" si="83"/>
        <v>500000</v>
      </c>
      <c r="O191" s="112">
        <f t="shared" si="83"/>
        <v>700000</v>
      </c>
      <c r="P191" s="112">
        <f t="shared" si="83"/>
        <v>700000</v>
      </c>
      <c r="Q191" s="112">
        <f t="shared" si="83"/>
        <v>556457</v>
      </c>
      <c r="R191" s="112">
        <f t="shared" si="83"/>
        <v>0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3"/>
      <c r="B192" s="105"/>
      <c r="C192" s="262"/>
      <c r="D192" s="114" t="s">
        <v>303</v>
      </c>
      <c r="E192" s="212" t="s">
        <v>28</v>
      </c>
      <c r="F192" s="123" t="e">
        <f>E48+F37-F42+(F105-E105)+F110</f>
        <v>#REF!</v>
      </c>
      <c r="G192" s="231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3"/>
      <c r="B193" s="105"/>
      <c r="C193" s="262"/>
      <c r="D193" s="115" t="s">
        <v>321</v>
      </c>
      <c r="E193" s="179" t="s">
        <v>28</v>
      </c>
      <c r="F193" s="125" t="e">
        <f>E96-(F98+F99+F100+F101)</f>
        <v>#REF!</v>
      </c>
      <c r="G193" s="232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3"/>
      <c r="B194" s="1"/>
      <c r="C194" s="25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3"/>
      <c r="B195" s="1"/>
      <c r="C195" s="259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3"/>
      <c r="B196" s="1"/>
      <c r="C196" s="259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3"/>
      <c r="B197" s="1"/>
      <c r="C197" s="259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3"/>
      <c r="B198" s="1"/>
      <c r="C198" s="259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3"/>
      <c r="B199" s="1"/>
      <c r="C199" s="259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3"/>
      <c r="B200" s="1"/>
      <c r="C200" s="259"/>
      <c r="D200" s="137" t="s">
        <v>310</v>
      </c>
      <c r="E200" s="216" t="s">
        <v>28</v>
      </c>
      <c r="F200" s="217" t="s">
        <v>28</v>
      </c>
      <c r="G200" s="217" t="s">
        <v>28</v>
      </c>
      <c r="H200" s="218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0.023299999999999998</v>
      </c>
      <c r="M200" s="139">
        <f t="shared" si="86"/>
        <v>0.021299999999999996</v>
      </c>
      <c r="N200" s="139">
        <f t="shared" si="86"/>
        <v>0.024200000000000006</v>
      </c>
      <c r="O200" s="139">
        <f t="shared" si="86"/>
        <v>0.021566666666666665</v>
      </c>
      <c r="P200" s="139">
        <f t="shared" si="86"/>
        <v>0.02126666666666667</v>
      </c>
      <c r="Q200" s="139">
        <f t="shared" si="86"/>
        <v>0.025133333333333334</v>
      </c>
      <c r="R200" s="139">
        <f t="shared" si="86"/>
        <v>0.0411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3"/>
      <c r="B201" s="1"/>
      <c r="C201" s="259"/>
      <c r="D201" s="141" t="s">
        <v>311</v>
      </c>
      <c r="E201" s="219" t="s">
        <v>28</v>
      </c>
      <c r="F201" s="220" t="s">
        <v>28</v>
      </c>
      <c r="G201" s="220" t="s">
        <v>28</v>
      </c>
      <c r="H201" s="221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0.023299999999999998</v>
      </c>
      <c r="M201" s="143">
        <f t="shared" si="87"/>
        <v>0.021299999999999996</v>
      </c>
      <c r="N201" s="143">
        <f t="shared" si="87"/>
        <v>0.024200000000000006</v>
      </c>
      <c r="O201" s="143">
        <f t="shared" si="87"/>
        <v>0.021566666666666665</v>
      </c>
      <c r="P201" s="143">
        <f t="shared" si="87"/>
        <v>0.02126666666666667</v>
      </c>
      <c r="Q201" s="143">
        <f t="shared" si="87"/>
        <v>0.025133333333333334</v>
      </c>
      <c r="R201" s="143">
        <f t="shared" si="87"/>
        <v>0.0411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3"/>
      <c r="B202" s="1"/>
      <c r="C202" s="259"/>
      <c r="D202" s="137" t="s">
        <v>312</v>
      </c>
      <c r="E202" s="216" t="s">
        <v>28</v>
      </c>
      <c r="F202" s="217" t="s">
        <v>28</v>
      </c>
      <c r="G202" s="217" t="s">
        <v>28</v>
      </c>
      <c r="H202" s="218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0.023299999999999998</v>
      </c>
      <c r="M202" s="139">
        <f t="shared" si="88"/>
        <v>0.021299999999999996</v>
      </c>
      <c r="N202" s="139">
        <f t="shared" si="88"/>
        <v>0.0242</v>
      </c>
      <c r="O202" s="139">
        <f t="shared" si="88"/>
        <v>0.0216</v>
      </c>
      <c r="P202" s="139">
        <f t="shared" si="88"/>
        <v>0.0213</v>
      </c>
      <c r="Q202" s="139">
        <f t="shared" si="88"/>
        <v>0.025100000000000004</v>
      </c>
      <c r="R202" s="139">
        <f t="shared" si="88"/>
        <v>0.0411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3"/>
      <c r="B203" s="1"/>
      <c r="C203" s="259"/>
      <c r="D203" s="141" t="s">
        <v>313</v>
      </c>
      <c r="E203" s="219" t="s">
        <v>28</v>
      </c>
      <c r="F203" s="220" t="s">
        <v>28</v>
      </c>
      <c r="G203" s="220" t="s">
        <v>28</v>
      </c>
      <c r="H203" s="221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0.023299999999999998</v>
      </c>
      <c r="M203" s="143">
        <f t="shared" si="89"/>
        <v>0.021299999999999996</v>
      </c>
      <c r="N203" s="143">
        <f t="shared" si="89"/>
        <v>0.0242</v>
      </c>
      <c r="O203" s="143">
        <f t="shared" si="89"/>
        <v>0.0216</v>
      </c>
      <c r="P203" s="143">
        <f t="shared" si="89"/>
        <v>0.0213</v>
      </c>
      <c r="Q203" s="143">
        <f t="shared" si="89"/>
        <v>0.025100000000000004</v>
      </c>
      <c r="R203" s="143">
        <f t="shared" si="89"/>
        <v>0.0411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2017 - 2026 - Nr Uchwały JST: uchwała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7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2026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3</v>
      </c>
      <c r="M4" s="8">
        <v>2020</v>
      </c>
      <c r="N4" s="9">
        <v>0</v>
      </c>
      <c r="O4" s="13">
        <v>42941</v>
      </c>
      <c r="P4" s="13">
        <v>42941</v>
      </c>
    </row>
    <row r="5" spans="1:16" ht="14.25">
      <c r="A5" s="10">
        <v>2017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6</v>
      </c>
      <c r="M5" s="8">
        <v>2023</v>
      </c>
      <c r="N5" s="9">
        <v>0</v>
      </c>
      <c r="O5" s="13">
        <v>42941</v>
      </c>
      <c r="P5" s="13">
        <v>42941</v>
      </c>
    </row>
    <row r="6" spans="1:16" ht="14.25">
      <c r="A6" s="10">
        <v>2017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5</v>
      </c>
      <c r="M6" s="8">
        <v>2022</v>
      </c>
      <c r="N6" s="9">
        <v>0</v>
      </c>
      <c r="O6" s="13">
        <v>42941</v>
      </c>
      <c r="P6" s="13">
        <v>42941</v>
      </c>
    </row>
    <row r="7" spans="1:16" ht="14.25">
      <c r="A7" s="10">
        <v>2017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9</v>
      </c>
      <c r="M7" s="8">
        <v>2026</v>
      </c>
      <c r="N7" s="9">
        <v>0</v>
      </c>
      <c r="O7" s="13">
        <v>42941</v>
      </c>
      <c r="P7" s="13">
        <v>42941</v>
      </c>
    </row>
    <row r="8" spans="1:16" ht="14.25">
      <c r="A8" s="10">
        <v>2017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1</v>
      </c>
      <c r="M8" s="8">
        <v>2018</v>
      </c>
      <c r="N8" s="9">
        <v>0</v>
      </c>
      <c r="O8" s="13">
        <v>42941</v>
      </c>
      <c r="P8" s="13">
        <v>42941</v>
      </c>
    </row>
    <row r="9" spans="1:16" ht="14.25">
      <c r="A9" s="10">
        <v>2017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0</v>
      </c>
      <c r="M9" s="8">
        <v>2017</v>
      </c>
      <c r="N9" s="9">
        <v>0</v>
      </c>
      <c r="O9" s="13">
        <v>42941</v>
      </c>
      <c r="P9" s="13">
        <v>42941</v>
      </c>
    </row>
    <row r="10" spans="1:16" ht="14.25">
      <c r="A10" s="10">
        <v>2017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4</v>
      </c>
      <c r="M10" s="8">
        <v>2021</v>
      </c>
      <c r="N10" s="9">
        <v>0</v>
      </c>
      <c r="O10" s="13">
        <v>42941</v>
      </c>
      <c r="P10" s="13">
        <v>42941</v>
      </c>
    </row>
    <row r="11" spans="1:16" ht="14.25">
      <c r="A11" s="10">
        <v>2017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7</v>
      </c>
      <c r="M11" s="8">
        <v>2024</v>
      </c>
      <c r="N11" s="9">
        <v>0</v>
      </c>
      <c r="O11" s="13">
        <v>42941</v>
      </c>
      <c r="P11" s="13">
        <v>42941</v>
      </c>
    </row>
    <row r="12" spans="1:16" ht="14.25">
      <c r="A12" s="10">
        <v>2017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2</v>
      </c>
      <c r="M12" s="8">
        <v>2019</v>
      </c>
      <c r="N12" s="9">
        <v>0</v>
      </c>
      <c r="O12" s="13">
        <v>42941</v>
      </c>
      <c r="P12" s="13">
        <v>42941</v>
      </c>
    </row>
    <row r="13" spans="1:16" ht="14.25">
      <c r="A13" s="10">
        <v>2017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8</v>
      </c>
      <c r="M13" s="8">
        <v>2025</v>
      </c>
      <c r="N13" s="9">
        <v>0</v>
      </c>
      <c r="O13" s="13">
        <v>42941</v>
      </c>
      <c r="P13" s="13">
        <v>42941</v>
      </c>
    </row>
    <row r="14" spans="1:16" ht="14.25">
      <c r="A14" s="10">
        <v>2017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7</v>
      </c>
      <c r="M14" s="8">
        <v>2024</v>
      </c>
      <c r="N14" s="9">
        <v>0</v>
      </c>
      <c r="O14" s="13">
        <v>42941</v>
      </c>
      <c r="P14" s="13">
        <v>42941</v>
      </c>
    </row>
    <row r="15" spans="1:16" ht="14.25">
      <c r="A15" s="10">
        <v>2017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6</v>
      </c>
      <c r="M15" s="8">
        <v>2023</v>
      </c>
      <c r="N15" s="9">
        <v>0</v>
      </c>
      <c r="O15" s="13">
        <v>42941</v>
      </c>
      <c r="P15" s="13">
        <v>42941</v>
      </c>
    </row>
    <row r="16" spans="1:16" ht="14.25">
      <c r="A16" s="10">
        <v>2017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2021</v>
      </c>
      <c r="N16" s="9">
        <v>0</v>
      </c>
      <c r="O16" s="13">
        <v>42941</v>
      </c>
      <c r="P16" s="13">
        <v>42941</v>
      </c>
    </row>
    <row r="17" spans="1:16" ht="14.25">
      <c r="A17" s="10">
        <v>2017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5</v>
      </c>
      <c r="M17" s="8">
        <v>2022</v>
      </c>
      <c r="N17" s="9">
        <v>0</v>
      </c>
      <c r="O17" s="13">
        <v>42941</v>
      </c>
      <c r="P17" s="13">
        <v>42941</v>
      </c>
    </row>
    <row r="18" spans="1:16" ht="14.25">
      <c r="A18" s="10">
        <v>2017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3</v>
      </c>
      <c r="M18" s="8">
        <v>2020</v>
      </c>
      <c r="N18" s="9">
        <v>0</v>
      </c>
      <c r="O18" s="13">
        <v>42941</v>
      </c>
      <c r="P18" s="13">
        <v>42941</v>
      </c>
    </row>
    <row r="19" spans="1:16" ht="14.25">
      <c r="A19" s="10">
        <v>2017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8</v>
      </c>
      <c r="M19" s="8">
        <v>2025</v>
      </c>
      <c r="N19" s="9">
        <v>0</v>
      </c>
      <c r="O19" s="13">
        <v>42941</v>
      </c>
      <c r="P19" s="13">
        <v>42941</v>
      </c>
    </row>
    <row r="20" spans="1:16" ht="14.25">
      <c r="A20" s="10">
        <v>2017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2</v>
      </c>
      <c r="M20" s="8">
        <v>2019</v>
      </c>
      <c r="N20" s="9">
        <v>0</v>
      </c>
      <c r="O20" s="13">
        <v>42941</v>
      </c>
      <c r="P20" s="13">
        <v>42941</v>
      </c>
    </row>
    <row r="21" spans="1:16" ht="14.25">
      <c r="A21" s="10">
        <v>2017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9</v>
      </c>
      <c r="M21" s="8">
        <v>2026</v>
      </c>
      <c r="N21" s="9">
        <v>0</v>
      </c>
      <c r="O21" s="13">
        <v>42941</v>
      </c>
      <c r="P21" s="13">
        <v>42941</v>
      </c>
    </row>
    <row r="22" spans="1:16" ht="14.25">
      <c r="A22" s="10">
        <v>2017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1</v>
      </c>
      <c r="M22" s="8">
        <v>2018</v>
      </c>
      <c r="N22" s="9">
        <v>0</v>
      </c>
      <c r="O22" s="13">
        <v>42941</v>
      </c>
      <c r="P22" s="13">
        <v>42941</v>
      </c>
    </row>
    <row r="23" spans="1:16" ht="14.25">
      <c r="A23" s="10">
        <v>2017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0</v>
      </c>
      <c r="M23" s="8">
        <v>2017</v>
      </c>
      <c r="N23" s="9">
        <v>0</v>
      </c>
      <c r="O23" s="13">
        <v>42941</v>
      </c>
      <c r="P23" s="13">
        <v>42941</v>
      </c>
    </row>
    <row r="24" spans="1:16" ht="14.25">
      <c r="A24" s="10">
        <v>2017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7</v>
      </c>
      <c r="M24" s="8">
        <v>2024</v>
      </c>
      <c r="N24" s="9">
        <v>0</v>
      </c>
      <c r="O24" s="13">
        <v>42941</v>
      </c>
      <c r="P24" s="13">
        <v>42941</v>
      </c>
    </row>
    <row r="25" spans="1:16" ht="14.25">
      <c r="A25" s="10">
        <v>2017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2</v>
      </c>
      <c r="M25" s="8">
        <v>2019</v>
      </c>
      <c r="N25" s="9">
        <v>1375</v>
      </c>
      <c r="O25" s="13">
        <v>42941</v>
      </c>
      <c r="P25" s="13">
        <v>42941</v>
      </c>
    </row>
    <row r="26" spans="1:16" ht="14.25">
      <c r="A26" s="10">
        <v>2017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9</v>
      </c>
      <c r="M26" s="8">
        <v>2026</v>
      </c>
      <c r="N26" s="9">
        <v>0</v>
      </c>
      <c r="O26" s="13">
        <v>42941</v>
      </c>
      <c r="P26" s="13">
        <v>42941</v>
      </c>
    </row>
    <row r="27" spans="1:16" ht="14.25">
      <c r="A27" s="10">
        <v>2017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8</v>
      </c>
      <c r="M27" s="8">
        <v>2025</v>
      </c>
      <c r="N27" s="9">
        <v>0</v>
      </c>
      <c r="O27" s="13">
        <v>42941</v>
      </c>
      <c r="P27" s="13">
        <v>42941</v>
      </c>
    </row>
    <row r="28" spans="1:16" ht="14.25">
      <c r="A28" s="10">
        <v>2017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0</v>
      </c>
      <c r="M28" s="8">
        <v>2017</v>
      </c>
      <c r="N28" s="9">
        <v>5524534</v>
      </c>
      <c r="O28" s="13">
        <v>42941</v>
      </c>
      <c r="P28" s="13">
        <v>42941</v>
      </c>
    </row>
    <row r="29" spans="1:16" ht="14.25">
      <c r="A29" s="10">
        <v>2017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4</v>
      </c>
      <c r="M29" s="8">
        <v>2021</v>
      </c>
      <c r="N29" s="9">
        <v>0</v>
      </c>
      <c r="O29" s="13">
        <v>42941</v>
      </c>
      <c r="P29" s="13">
        <v>42941</v>
      </c>
    </row>
    <row r="30" spans="1:16" ht="14.25">
      <c r="A30" s="10">
        <v>2017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3</v>
      </c>
      <c r="M30" s="8">
        <v>2020</v>
      </c>
      <c r="N30" s="9">
        <v>1375</v>
      </c>
      <c r="O30" s="13">
        <v>42941</v>
      </c>
      <c r="P30" s="13">
        <v>42941</v>
      </c>
    </row>
    <row r="31" spans="1:16" ht="14.25">
      <c r="A31" s="10">
        <v>2017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6</v>
      </c>
      <c r="M31" s="8">
        <v>2023</v>
      </c>
      <c r="N31" s="9">
        <v>0</v>
      </c>
      <c r="O31" s="13">
        <v>42941</v>
      </c>
      <c r="P31" s="13">
        <v>42941</v>
      </c>
    </row>
    <row r="32" spans="1:16" ht="14.25">
      <c r="A32" s="10">
        <v>2017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5</v>
      </c>
      <c r="M32" s="8">
        <v>2022</v>
      </c>
      <c r="N32" s="9">
        <v>0</v>
      </c>
      <c r="O32" s="13">
        <v>42941</v>
      </c>
      <c r="P32" s="13">
        <v>42941</v>
      </c>
    </row>
    <row r="33" spans="1:16" ht="14.25">
      <c r="A33" s="10">
        <v>2017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1</v>
      </c>
      <c r="M33" s="8">
        <v>2018</v>
      </c>
      <c r="N33" s="9">
        <v>4649405.25</v>
      </c>
      <c r="O33" s="13">
        <v>42941</v>
      </c>
      <c r="P33" s="13">
        <v>42941</v>
      </c>
    </row>
    <row r="34" spans="1:16" ht="14.25">
      <c r="A34" s="10">
        <v>2017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7</v>
      </c>
      <c r="M34" s="8">
        <v>2024</v>
      </c>
      <c r="N34" s="9">
        <v>0</v>
      </c>
      <c r="O34" s="13">
        <v>42941</v>
      </c>
      <c r="P34" s="13">
        <v>42941</v>
      </c>
    </row>
    <row r="35" spans="1:16" ht="14.25">
      <c r="A35" s="10">
        <v>2017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5</v>
      </c>
      <c r="M35" s="8">
        <v>2022</v>
      </c>
      <c r="N35" s="9">
        <v>0</v>
      </c>
      <c r="O35" s="13">
        <v>42941</v>
      </c>
      <c r="P35" s="13">
        <v>42941</v>
      </c>
    </row>
    <row r="36" spans="1:16" ht="14.25">
      <c r="A36" s="10">
        <v>2017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8</v>
      </c>
      <c r="M36" s="8">
        <v>2025</v>
      </c>
      <c r="N36" s="9">
        <v>0</v>
      </c>
      <c r="O36" s="13">
        <v>42941</v>
      </c>
      <c r="P36" s="13">
        <v>42941</v>
      </c>
    </row>
    <row r="37" spans="1:16" ht="14.25">
      <c r="A37" s="10">
        <v>2017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0</v>
      </c>
      <c r="M37" s="8">
        <v>2017</v>
      </c>
      <c r="N37" s="9">
        <v>0</v>
      </c>
      <c r="O37" s="13">
        <v>42941</v>
      </c>
      <c r="P37" s="13">
        <v>42941</v>
      </c>
    </row>
    <row r="38" spans="1:16" ht="14.25">
      <c r="A38" s="10">
        <v>2017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4</v>
      </c>
      <c r="M38" s="8">
        <v>2021</v>
      </c>
      <c r="N38" s="9">
        <v>0</v>
      </c>
      <c r="O38" s="13">
        <v>42941</v>
      </c>
      <c r="P38" s="13">
        <v>42941</v>
      </c>
    </row>
    <row r="39" spans="1:16" ht="14.25">
      <c r="A39" s="10">
        <v>2017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1</v>
      </c>
      <c r="M39" s="8">
        <v>2018</v>
      </c>
      <c r="N39" s="9">
        <v>0</v>
      </c>
      <c r="O39" s="13">
        <v>42941</v>
      </c>
      <c r="P39" s="13">
        <v>42941</v>
      </c>
    </row>
    <row r="40" spans="1:16" ht="14.25">
      <c r="A40" s="10">
        <v>2017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2</v>
      </c>
      <c r="M40" s="8">
        <v>2019</v>
      </c>
      <c r="N40" s="9">
        <v>0</v>
      </c>
      <c r="O40" s="13">
        <v>42941</v>
      </c>
      <c r="P40" s="13">
        <v>42941</v>
      </c>
    </row>
    <row r="41" spans="1:16" ht="14.25">
      <c r="A41" s="10">
        <v>2017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9</v>
      </c>
      <c r="M41" s="8">
        <v>2026</v>
      </c>
      <c r="N41" s="9">
        <v>0</v>
      </c>
      <c r="O41" s="13">
        <v>42941</v>
      </c>
      <c r="P41" s="13">
        <v>42941</v>
      </c>
    </row>
    <row r="42" spans="1:16" ht="14.25">
      <c r="A42" s="10">
        <v>2017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3</v>
      </c>
      <c r="M42" s="8">
        <v>2020</v>
      </c>
      <c r="N42" s="9">
        <v>0</v>
      </c>
      <c r="O42" s="13">
        <v>42941</v>
      </c>
      <c r="P42" s="13">
        <v>42941</v>
      </c>
    </row>
    <row r="43" spans="1:16" ht="14.25">
      <c r="A43" s="10">
        <v>2017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6</v>
      </c>
      <c r="M43" s="8">
        <v>2023</v>
      </c>
      <c r="N43" s="9">
        <v>0</v>
      </c>
      <c r="O43" s="13">
        <v>42941</v>
      </c>
      <c r="P43" s="13">
        <v>42941</v>
      </c>
    </row>
    <row r="44" spans="1:16" ht="14.25">
      <c r="A44" s="10">
        <v>2017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1</v>
      </c>
      <c r="M44" s="8">
        <v>2018</v>
      </c>
      <c r="N44" s="9">
        <v>0</v>
      </c>
      <c r="O44" s="13">
        <v>42941</v>
      </c>
      <c r="P44" s="13">
        <v>42941</v>
      </c>
    </row>
    <row r="45" spans="1:16" ht="14.25">
      <c r="A45" s="10">
        <v>2017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6</v>
      </c>
      <c r="M45" s="8">
        <v>2023</v>
      </c>
      <c r="N45" s="9">
        <v>0</v>
      </c>
      <c r="O45" s="13">
        <v>42941</v>
      </c>
      <c r="P45" s="13">
        <v>42941</v>
      </c>
    </row>
    <row r="46" spans="1:16" ht="14.25">
      <c r="A46" s="10">
        <v>2017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4</v>
      </c>
      <c r="M46" s="8">
        <v>2021</v>
      </c>
      <c r="N46" s="9">
        <v>0</v>
      </c>
      <c r="O46" s="13">
        <v>42941</v>
      </c>
      <c r="P46" s="13">
        <v>42941</v>
      </c>
    </row>
    <row r="47" spans="1:16" ht="14.25">
      <c r="A47" s="10">
        <v>2017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8</v>
      </c>
      <c r="M47" s="8">
        <v>2025</v>
      </c>
      <c r="N47" s="9">
        <v>0</v>
      </c>
      <c r="O47" s="13">
        <v>42941</v>
      </c>
      <c r="P47" s="13">
        <v>42941</v>
      </c>
    </row>
    <row r="48" spans="1:16" ht="14.25">
      <c r="A48" s="10">
        <v>2017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3</v>
      </c>
      <c r="M48" s="8">
        <v>2020</v>
      </c>
      <c r="N48" s="9">
        <v>0</v>
      </c>
      <c r="O48" s="13">
        <v>42941</v>
      </c>
      <c r="P48" s="13">
        <v>42941</v>
      </c>
    </row>
    <row r="49" spans="1:16" ht="14.25">
      <c r="A49" s="10">
        <v>2017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2</v>
      </c>
      <c r="M49" s="8">
        <v>2019</v>
      </c>
      <c r="N49" s="9">
        <v>0</v>
      </c>
      <c r="O49" s="13">
        <v>42941</v>
      </c>
      <c r="P49" s="13">
        <v>42941</v>
      </c>
    </row>
    <row r="50" spans="1:16" ht="14.25">
      <c r="A50" s="10">
        <v>2017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5</v>
      </c>
      <c r="M50" s="8">
        <v>2022</v>
      </c>
      <c r="N50" s="9">
        <v>0</v>
      </c>
      <c r="O50" s="13">
        <v>42941</v>
      </c>
      <c r="P50" s="13">
        <v>42941</v>
      </c>
    </row>
    <row r="51" spans="1:16" ht="14.25">
      <c r="A51" s="10">
        <v>2017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0</v>
      </c>
      <c r="M51" s="8">
        <v>2017</v>
      </c>
      <c r="N51" s="9">
        <v>200000</v>
      </c>
      <c r="O51" s="13">
        <v>42941</v>
      </c>
      <c r="P51" s="13">
        <v>42941</v>
      </c>
    </row>
    <row r="52" spans="1:16" ht="14.25">
      <c r="A52" s="10">
        <v>2017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7</v>
      </c>
      <c r="M52" s="8">
        <v>2024</v>
      </c>
      <c r="N52" s="9">
        <v>0</v>
      </c>
      <c r="O52" s="13">
        <v>42941</v>
      </c>
      <c r="P52" s="13">
        <v>42941</v>
      </c>
    </row>
    <row r="53" spans="1:16" ht="14.25">
      <c r="A53" s="10">
        <v>2017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9</v>
      </c>
      <c r="M53" s="8">
        <v>2026</v>
      </c>
      <c r="N53" s="9">
        <v>0</v>
      </c>
      <c r="O53" s="13">
        <v>42941</v>
      </c>
      <c r="P53" s="13">
        <v>42941</v>
      </c>
    </row>
    <row r="54" spans="1:16" ht="14.25">
      <c r="A54" s="10">
        <v>2017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530</v>
      </c>
      <c r="H54" s="12">
        <v>9.7</v>
      </c>
      <c r="I54" s="12" t="s">
        <v>478</v>
      </c>
      <c r="J54" s="12" t="s">
        <v>372</v>
      </c>
      <c r="K54" s="12" t="b">
        <v>0</v>
      </c>
      <c r="L54" s="12">
        <v>6</v>
      </c>
      <c r="M54" s="8">
        <v>2023</v>
      </c>
      <c r="N54" s="9">
        <v>216</v>
      </c>
      <c r="O54" s="13">
        <v>42941</v>
      </c>
      <c r="P54" s="13">
        <v>42941</v>
      </c>
    </row>
    <row r="55" spans="1:16" ht="14.25">
      <c r="A55" s="10">
        <v>2017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530</v>
      </c>
      <c r="H55" s="12">
        <v>9.7</v>
      </c>
      <c r="I55" s="12" t="s">
        <v>478</v>
      </c>
      <c r="J55" s="12" t="s">
        <v>372</v>
      </c>
      <c r="K55" s="12" t="b">
        <v>0</v>
      </c>
      <c r="L55" s="12">
        <v>2</v>
      </c>
      <c r="M55" s="8">
        <v>2019</v>
      </c>
      <c r="N55" s="9">
        <v>318</v>
      </c>
      <c r="O55" s="13">
        <v>42941</v>
      </c>
      <c r="P55" s="13">
        <v>42941</v>
      </c>
    </row>
    <row r="56" spans="1:16" ht="14.25">
      <c r="A56" s="10">
        <v>2017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530</v>
      </c>
      <c r="H56" s="12">
        <v>9.7</v>
      </c>
      <c r="I56" s="12" t="s">
        <v>478</v>
      </c>
      <c r="J56" s="12" t="s">
        <v>372</v>
      </c>
      <c r="K56" s="12" t="b">
        <v>0</v>
      </c>
      <c r="L56" s="12">
        <v>1</v>
      </c>
      <c r="M56" s="8">
        <v>2018</v>
      </c>
      <c r="N56" s="9">
        <v>725</v>
      </c>
      <c r="O56" s="13">
        <v>42941</v>
      </c>
      <c r="P56" s="13">
        <v>42941</v>
      </c>
    </row>
    <row r="57" spans="1:16" ht="14.25">
      <c r="A57" s="10">
        <v>2017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530</v>
      </c>
      <c r="H57" s="12">
        <v>9.7</v>
      </c>
      <c r="I57" s="12" t="s">
        <v>478</v>
      </c>
      <c r="J57" s="12" t="s">
        <v>372</v>
      </c>
      <c r="K57" s="12" t="b">
        <v>0</v>
      </c>
      <c r="L57" s="12">
        <v>9</v>
      </c>
      <c r="M57" s="8">
        <v>2026</v>
      </c>
      <c r="N57" s="9">
        <v>411</v>
      </c>
      <c r="O57" s="13">
        <v>42941</v>
      </c>
      <c r="P57" s="13">
        <v>42941</v>
      </c>
    </row>
    <row r="58" spans="1:16" ht="14.25">
      <c r="A58" s="10">
        <v>2017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530</v>
      </c>
      <c r="H58" s="12">
        <v>9.7</v>
      </c>
      <c r="I58" s="12" t="s">
        <v>478</v>
      </c>
      <c r="J58" s="12" t="s">
        <v>372</v>
      </c>
      <c r="K58" s="12" t="b">
        <v>0</v>
      </c>
      <c r="L58" s="12">
        <v>8</v>
      </c>
      <c r="M58" s="8">
        <v>2025</v>
      </c>
      <c r="N58" s="9">
        <v>251</v>
      </c>
      <c r="O58" s="13">
        <v>42941</v>
      </c>
      <c r="P58" s="13">
        <v>42941</v>
      </c>
    </row>
    <row r="59" spans="1:16" ht="14.25">
      <c r="A59" s="10">
        <v>2017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530</v>
      </c>
      <c r="H59" s="12">
        <v>9.7</v>
      </c>
      <c r="I59" s="12" t="s">
        <v>478</v>
      </c>
      <c r="J59" s="12" t="s">
        <v>372</v>
      </c>
      <c r="K59" s="12" t="b">
        <v>0</v>
      </c>
      <c r="L59" s="12">
        <v>3</v>
      </c>
      <c r="M59" s="8">
        <v>2020</v>
      </c>
      <c r="N59" s="9">
        <v>233</v>
      </c>
      <c r="O59" s="13">
        <v>42941</v>
      </c>
      <c r="P59" s="13">
        <v>42941</v>
      </c>
    </row>
    <row r="60" spans="1:16" ht="14.25">
      <c r="A60" s="10">
        <v>2017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530</v>
      </c>
      <c r="H60" s="12">
        <v>9.7</v>
      </c>
      <c r="I60" s="12" t="s">
        <v>478</v>
      </c>
      <c r="J60" s="12" t="s">
        <v>372</v>
      </c>
      <c r="K60" s="12" t="b">
        <v>0</v>
      </c>
      <c r="L60" s="12">
        <v>7</v>
      </c>
      <c r="M60" s="8">
        <v>2024</v>
      </c>
      <c r="N60" s="9">
        <v>213</v>
      </c>
      <c r="O60" s="13">
        <v>42941</v>
      </c>
      <c r="P60" s="13">
        <v>42941</v>
      </c>
    </row>
    <row r="61" spans="1:16" ht="14.25">
      <c r="A61" s="10">
        <v>2017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766</v>
      </c>
      <c r="H61" s="12" t="s">
        <v>383</v>
      </c>
      <c r="I61" s="12"/>
      <c r="J61" s="12" t="s">
        <v>380</v>
      </c>
      <c r="K61" s="12" t="b">
        <v>1</v>
      </c>
      <c r="L61" s="12">
        <v>1</v>
      </c>
      <c r="M61" s="8">
        <v>2018</v>
      </c>
      <c r="N61" s="9">
        <v>53825.25</v>
      </c>
      <c r="O61" s="13">
        <v>42941</v>
      </c>
      <c r="P61" s="13">
        <v>42941</v>
      </c>
    </row>
    <row r="62" spans="1:16" ht="14.25">
      <c r="A62" s="10">
        <v>2017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766</v>
      </c>
      <c r="H62" s="12" t="s">
        <v>383</v>
      </c>
      <c r="I62" s="12"/>
      <c r="J62" s="12" t="s">
        <v>380</v>
      </c>
      <c r="K62" s="12" t="b">
        <v>1</v>
      </c>
      <c r="L62" s="12">
        <v>6</v>
      </c>
      <c r="M62" s="8">
        <v>2023</v>
      </c>
      <c r="N62" s="9">
        <v>0</v>
      </c>
      <c r="O62" s="13">
        <v>42941</v>
      </c>
      <c r="P62" s="13">
        <v>42941</v>
      </c>
    </row>
    <row r="63" spans="1:16" ht="14.25">
      <c r="A63" s="10">
        <v>2017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530</v>
      </c>
      <c r="H63" s="12">
        <v>9.7</v>
      </c>
      <c r="I63" s="12" t="s">
        <v>478</v>
      </c>
      <c r="J63" s="12" t="s">
        <v>372</v>
      </c>
      <c r="K63" s="12" t="b">
        <v>0</v>
      </c>
      <c r="L63" s="12">
        <v>5</v>
      </c>
      <c r="M63" s="8">
        <v>2022</v>
      </c>
      <c r="N63" s="9">
        <v>242</v>
      </c>
      <c r="O63" s="13">
        <v>42941</v>
      </c>
      <c r="P63" s="13">
        <v>42941</v>
      </c>
    </row>
    <row r="64" spans="1:16" ht="14.25">
      <c r="A64" s="10">
        <v>2017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530</v>
      </c>
      <c r="H64" s="12">
        <v>9.7</v>
      </c>
      <c r="I64" s="12" t="s">
        <v>478</v>
      </c>
      <c r="J64" s="12" t="s">
        <v>372</v>
      </c>
      <c r="K64" s="12" t="b">
        <v>0</v>
      </c>
      <c r="L64" s="12">
        <v>4</v>
      </c>
      <c r="M64" s="8">
        <v>2021</v>
      </c>
      <c r="N64" s="9">
        <v>213</v>
      </c>
      <c r="O64" s="13">
        <v>42941</v>
      </c>
      <c r="P64" s="13">
        <v>42941</v>
      </c>
    </row>
    <row r="65" spans="1:16" ht="14.25">
      <c r="A65" s="10">
        <v>2017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530</v>
      </c>
      <c r="H65" s="12">
        <v>9.7</v>
      </c>
      <c r="I65" s="12" t="s">
        <v>478</v>
      </c>
      <c r="J65" s="12" t="s">
        <v>372</v>
      </c>
      <c r="K65" s="12" t="b">
        <v>0</v>
      </c>
      <c r="L65" s="12">
        <v>0</v>
      </c>
      <c r="M65" s="8">
        <v>2017</v>
      </c>
      <c r="N65" s="9">
        <v>1020</v>
      </c>
      <c r="O65" s="13">
        <v>42941</v>
      </c>
      <c r="P65" s="13">
        <v>42941</v>
      </c>
    </row>
    <row r="66" spans="1:16" ht="14.25">
      <c r="A66" s="10">
        <v>2017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3</v>
      </c>
      <c r="M66" s="8">
        <v>2020</v>
      </c>
      <c r="N66" s="9">
        <v>0</v>
      </c>
      <c r="O66" s="13">
        <v>42941</v>
      </c>
      <c r="P66" s="13">
        <v>42941</v>
      </c>
    </row>
    <row r="67" spans="1:16" ht="14.25">
      <c r="A67" s="10">
        <v>2017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6</v>
      </c>
      <c r="M67" s="8">
        <v>2023</v>
      </c>
      <c r="N67" s="9">
        <v>0</v>
      </c>
      <c r="O67" s="13">
        <v>42941</v>
      </c>
      <c r="P67" s="13">
        <v>42941</v>
      </c>
    </row>
    <row r="68" spans="1:16" ht="14.25">
      <c r="A68" s="10">
        <v>2017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4</v>
      </c>
      <c r="M68" s="8">
        <v>2021</v>
      </c>
      <c r="N68" s="9">
        <v>0</v>
      </c>
      <c r="O68" s="13">
        <v>42941</v>
      </c>
      <c r="P68" s="13">
        <v>42941</v>
      </c>
    </row>
    <row r="69" spans="1:16" ht="14.25">
      <c r="A69" s="10">
        <v>2017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9</v>
      </c>
      <c r="M69" s="8">
        <v>2026</v>
      </c>
      <c r="N69" s="9">
        <v>0</v>
      </c>
      <c r="O69" s="13">
        <v>42941</v>
      </c>
      <c r="P69" s="13">
        <v>42941</v>
      </c>
    </row>
    <row r="70" spans="1:16" ht="14.25">
      <c r="A70" s="10">
        <v>2017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1</v>
      </c>
      <c r="M70" s="8">
        <v>2018</v>
      </c>
      <c r="N70" s="9">
        <v>2731444</v>
      </c>
      <c r="O70" s="13">
        <v>42941</v>
      </c>
      <c r="P70" s="13">
        <v>42941</v>
      </c>
    </row>
    <row r="71" spans="1:16" ht="14.25">
      <c r="A71" s="10">
        <v>2017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0</v>
      </c>
      <c r="M71" s="8">
        <v>2017</v>
      </c>
      <c r="N71" s="9">
        <v>0</v>
      </c>
      <c r="O71" s="13">
        <v>42941</v>
      </c>
      <c r="P71" s="13">
        <v>42941</v>
      </c>
    </row>
    <row r="72" spans="1:16" ht="14.25">
      <c r="A72" s="10">
        <v>2017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5</v>
      </c>
      <c r="M72" s="8">
        <v>2022</v>
      </c>
      <c r="N72" s="9">
        <v>0</v>
      </c>
      <c r="O72" s="13">
        <v>42941</v>
      </c>
      <c r="P72" s="13">
        <v>42941</v>
      </c>
    </row>
    <row r="73" spans="1:16" ht="14.25">
      <c r="A73" s="10">
        <v>2017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2</v>
      </c>
      <c r="M73" s="8">
        <v>2019</v>
      </c>
      <c r="N73" s="9">
        <v>2416023</v>
      </c>
      <c r="O73" s="13">
        <v>42941</v>
      </c>
      <c r="P73" s="13">
        <v>42941</v>
      </c>
    </row>
    <row r="74" spans="1:16" ht="14.25">
      <c r="A74" s="10">
        <v>2017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320</v>
      </c>
      <c r="H74" s="12" t="s">
        <v>74</v>
      </c>
      <c r="I74" s="12" t="s">
        <v>349</v>
      </c>
      <c r="J74" s="12" t="s">
        <v>350</v>
      </c>
      <c r="K74" s="12" t="b">
        <v>1</v>
      </c>
      <c r="L74" s="12">
        <v>7</v>
      </c>
      <c r="M74" s="8">
        <v>2024</v>
      </c>
      <c r="N74" s="9">
        <v>0</v>
      </c>
      <c r="O74" s="13">
        <v>42941</v>
      </c>
      <c r="P74" s="13">
        <v>42941</v>
      </c>
    </row>
    <row r="75" spans="1:16" ht="14.25">
      <c r="A75" s="10">
        <v>2017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320</v>
      </c>
      <c r="H75" s="12" t="s">
        <v>74</v>
      </c>
      <c r="I75" s="12" t="s">
        <v>349</v>
      </c>
      <c r="J75" s="12" t="s">
        <v>350</v>
      </c>
      <c r="K75" s="12" t="b">
        <v>1</v>
      </c>
      <c r="L75" s="12">
        <v>8</v>
      </c>
      <c r="M75" s="8">
        <v>2025</v>
      </c>
      <c r="N75" s="9">
        <v>0</v>
      </c>
      <c r="O75" s="13">
        <v>42941</v>
      </c>
      <c r="P75" s="13">
        <v>42941</v>
      </c>
    </row>
    <row r="76" spans="1:16" ht="14.25">
      <c r="A76" s="10">
        <v>2017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1</v>
      </c>
      <c r="M76" s="8">
        <v>2018</v>
      </c>
      <c r="N76" s="9">
        <v>217309</v>
      </c>
      <c r="O76" s="13">
        <v>42941</v>
      </c>
      <c r="P76" s="13">
        <v>42941</v>
      </c>
    </row>
    <row r="77" spans="1:16" ht="14.25">
      <c r="A77" s="10">
        <v>2017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3</v>
      </c>
      <c r="M77" s="8">
        <v>2020</v>
      </c>
      <c r="N77" s="9">
        <v>350000</v>
      </c>
      <c r="O77" s="13">
        <v>42941</v>
      </c>
      <c r="P77" s="13">
        <v>42941</v>
      </c>
    </row>
    <row r="78" spans="1:16" ht="14.25">
      <c r="A78" s="10">
        <v>2017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5</v>
      </c>
      <c r="M78" s="8">
        <v>2022</v>
      </c>
      <c r="N78" s="9">
        <v>100000</v>
      </c>
      <c r="O78" s="13">
        <v>42941</v>
      </c>
      <c r="P78" s="13">
        <v>42941</v>
      </c>
    </row>
    <row r="79" spans="1:16" ht="14.25">
      <c r="A79" s="10">
        <v>2017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4</v>
      </c>
      <c r="M79" s="8">
        <v>2021</v>
      </c>
      <c r="N79" s="9">
        <v>205000</v>
      </c>
      <c r="O79" s="13">
        <v>42941</v>
      </c>
      <c r="P79" s="13">
        <v>42941</v>
      </c>
    </row>
    <row r="80" spans="1:16" ht="14.25">
      <c r="A80" s="10">
        <v>2017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0</v>
      </c>
      <c r="M80" s="8">
        <v>2017</v>
      </c>
      <c r="N80" s="9">
        <v>368527.28</v>
      </c>
      <c r="O80" s="13">
        <v>42941</v>
      </c>
      <c r="P80" s="13">
        <v>42941</v>
      </c>
    </row>
    <row r="81" spans="1:16" ht="14.25">
      <c r="A81" s="10">
        <v>2017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2</v>
      </c>
      <c r="M81" s="8">
        <v>2019</v>
      </c>
      <c r="N81" s="9">
        <v>250000</v>
      </c>
      <c r="O81" s="13">
        <v>42941</v>
      </c>
      <c r="P81" s="13">
        <v>42941</v>
      </c>
    </row>
    <row r="82" spans="1:16" ht="14.25">
      <c r="A82" s="10">
        <v>2017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9</v>
      </c>
      <c r="M82" s="8">
        <v>2026</v>
      </c>
      <c r="N82" s="9">
        <v>0</v>
      </c>
      <c r="O82" s="13">
        <v>42941</v>
      </c>
      <c r="P82" s="13">
        <v>42941</v>
      </c>
    </row>
    <row r="83" spans="1:16" ht="14.25">
      <c r="A83" s="10">
        <v>2017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8</v>
      </c>
      <c r="M83" s="8">
        <v>2025</v>
      </c>
      <c r="N83" s="9">
        <v>0</v>
      </c>
      <c r="O83" s="13">
        <v>42941</v>
      </c>
      <c r="P83" s="13">
        <v>42941</v>
      </c>
    </row>
    <row r="84" spans="1:16" ht="14.25">
      <c r="A84" s="10">
        <v>2017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880</v>
      </c>
      <c r="H84" s="12">
        <v>14.1</v>
      </c>
      <c r="I84" s="12"/>
      <c r="J84" s="12" t="s">
        <v>123</v>
      </c>
      <c r="K84" s="12" t="b">
        <v>1</v>
      </c>
      <c r="L84" s="12">
        <v>7</v>
      </c>
      <c r="M84" s="8">
        <v>2024</v>
      </c>
      <c r="N84" s="9">
        <v>0</v>
      </c>
      <c r="O84" s="13">
        <v>42941</v>
      </c>
      <c r="P84" s="13">
        <v>42941</v>
      </c>
    </row>
    <row r="85" spans="1:16" ht="14.25">
      <c r="A85" s="10">
        <v>2017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880</v>
      </c>
      <c r="H85" s="12">
        <v>14.1</v>
      </c>
      <c r="I85" s="12"/>
      <c r="J85" s="12" t="s">
        <v>123</v>
      </c>
      <c r="K85" s="12" t="b">
        <v>1</v>
      </c>
      <c r="L85" s="12">
        <v>6</v>
      </c>
      <c r="M85" s="8">
        <v>2023</v>
      </c>
      <c r="N85" s="9">
        <v>0</v>
      </c>
      <c r="O85" s="13">
        <v>42941</v>
      </c>
      <c r="P85" s="13">
        <v>42941</v>
      </c>
    </row>
    <row r="86" spans="1:16" ht="14.25">
      <c r="A86" s="10">
        <v>2017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2</v>
      </c>
      <c r="M86" s="8">
        <v>2019</v>
      </c>
      <c r="N86" s="9">
        <v>1100</v>
      </c>
      <c r="O86" s="13">
        <v>42941</v>
      </c>
      <c r="P86" s="13">
        <v>42941</v>
      </c>
    </row>
    <row r="87" spans="1:16" ht="14.25">
      <c r="A87" s="10">
        <v>2017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1</v>
      </c>
      <c r="M87" s="8">
        <v>2018</v>
      </c>
      <c r="N87" s="9">
        <v>1100</v>
      </c>
      <c r="O87" s="13">
        <v>42941</v>
      </c>
      <c r="P87" s="13">
        <v>42941</v>
      </c>
    </row>
    <row r="88" spans="1:16" ht="14.25">
      <c r="A88" s="10">
        <v>2017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4</v>
      </c>
      <c r="M88" s="8">
        <v>2021</v>
      </c>
      <c r="N88" s="9">
        <v>1100</v>
      </c>
      <c r="O88" s="13">
        <v>42941</v>
      </c>
      <c r="P88" s="13">
        <v>42941</v>
      </c>
    </row>
    <row r="89" spans="1:16" ht="14.25">
      <c r="A89" s="10">
        <v>2017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9</v>
      </c>
      <c r="M89" s="8">
        <v>2026</v>
      </c>
      <c r="N89" s="9">
        <v>1100</v>
      </c>
      <c r="O89" s="13">
        <v>42941</v>
      </c>
      <c r="P89" s="13">
        <v>42941</v>
      </c>
    </row>
    <row r="90" spans="1:16" ht="14.25">
      <c r="A90" s="10">
        <v>2017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0</v>
      </c>
      <c r="M90" s="8">
        <v>2017</v>
      </c>
      <c r="N90" s="9">
        <v>1000</v>
      </c>
      <c r="O90" s="13">
        <v>42941</v>
      </c>
      <c r="P90" s="13">
        <v>42941</v>
      </c>
    </row>
    <row r="91" spans="1:16" ht="14.25">
      <c r="A91" s="10">
        <v>2017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7</v>
      </c>
      <c r="M91" s="8">
        <v>2024</v>
      </c>
      <c r="N91" s="9">
        <v>1100</v>
      </c>
      <c r="O91" s="13">
        <v>42941</v>
      </c>
      <c r="P91" s="13">
        <v>42941</v>
      </c>
    </row>
    <row r="92" spans="1:16" ht="14.25">
      <c r="A92" s="10">
        <v>2017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3</v>
      </c>
      <c r="M92" s="8">
        <v>2020</v>
      </c>
      <c r="N92" s="9">
        <v>1100</v>
      </c>
      <c r="O92" s="13">
        <v>42941</v>
      </c>
      <c r="P92" s="13">
        <v>42941</v>
      </c>
    </row>
    <row r="93" spans="1:16" ht="14.25">
      <c r="A93" s="10">
        <v>2017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5</v>
      </c>
      <c r="M93" s="8">
        <v>2022</v>
      </c>
      <c r="N93" s="9">
        <v>1100</v>
      </c>
      <c r="O93" s="13">
        <v>42941</v>
      </c>
      <c r="P93" s="13">
        <v>42941</v>
      </c>
    </row>
    <row r="94" spans="1:16" ht="14.25">
      <c r="A94" s="10">
        <v>2017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40</v>
      </c>
      <c r="H94" s="12" t="s">
        <v>39</v>
      </c>
      <c r="I94" s="12"/>
      <c r="J94" s="12" t="s">
        <v>40</v>
      </c>
      <c r="K94" s="12" t="b">
        <v>1</v>
      </c>
      <c r="L94" s="12">
        <v>6</v>
      </c>
      <c r="M94" s="8">
        <v>2023</v>
      </c>
      <c r="N94" s="9">
        <v>1100</v>
      </c>
      <c r="O94" s="13">
        <v>42941</v>
      </c>
      <c r="P94" s="13">
        <v>42941</v>
      </c>
    </row>
    <row r="95" spans="1:16" ht="14.25">
      <c r="A95" s="10">
        <v>2017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40</v>
      </c>
      <c r="H95" s="12" t="s">
        <v>39</v>
      </c>
      <c r="I95" s="12"/>
      <c r="J95" s="12" t="s">
        <v>40</v>
      </c>
      <c r="K95" s="12" t="b">
        <v>1</v>
      </c>
      <c r="L95" s="12">
        <v>8</v>
      </c>
      <c r="M95" s="8">
        <v>2025</v>
      </c>
      <c r="N95" s="9">
        <v>1100</v>
      </c>
      <c r="O95" s="13">
        <v>42941</v>
      </c>
      <c r="P95" s="13">
        <v>42941</v>
      </c>
    </row>
    <row r="96" spans="1:16" ht="14.25">
      <c r="A96" s="10">
        <v>2017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4</v>
      </c>
      <c r="M96" s="8">
        <v>2021</v>
      </c>
      <c r="N96" s="9">
        <v>0</v>
      </c>
      <c r="O96" s="13">
        <v>42941</v>
      </c>
      <c r="P96" s="13">
        <v>42941</v>
      </c>
    </row>
    <row r="97" spans="1:16" ht="14.25">
      <c r="A97" s="10">
        <v>2017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9</v>
      </c>
      <c r="M97" s="8">
        <v>2026</v>
      </c>
      <c r="N97" s="9">
        <v>0</v>
      </c>
      <c r="O97" s="13">
        <v>42941</v>
      </c>
      <c r="P97" s="13">
        <v>42941</v>
      </c>
    </row>
    <row r="98" spans="1:16" ht="14.25">
      <c r="A98" s="10">
        <v>2017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5</v>
      </c>
      <c r="M98" s="8">
        <v>2022</v>
      </c>
      <c r="N98" s="9">
        <v>0</v>
      </c>
      <c r="O98" s="13">
        <v>42941</v>
      </c>
      <c r="P98" s="13">
        <v>42941</v>
      </c>
    </row>
    <row r="99" spans="1:16" ht="14.25">
      <c r="A99" s="10">
        <v>2017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2</v>
      </c>
      <c r="M99" s="8">
        <v>2019</v>
      </c>
      <c r="N99" s="9">
        <v>0</v>
      </c>
      <c r="O99" s="13">
        <v>42941</v>
      </c>
      <c r="P99" s="13">
        <v>42941</v>
      </c>
    </row>
    <row r="100" spans="1:16" ht="14.25">
      <c r="A100" s="10">
        <v>2017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7</v>
      </c>
      <c r="M100" s="8">
        <v>2024</v>
      </c>
      <c r="N100" s="9">
        <v>0</v>
      </c>
      <c r="O100" s="13">
        <v>42941</v>
      </c>
      <c r="P100" s="13">
        <v>42941</v>
      </c>
    </row>
    <row r="101" spans="1:16" ht="14.25">
      <c r="A101" s="10">
        <v>2017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3</v>
      </c>
      <c r="M101" s="8">
        <v>2020</v>
      </c>
      <c r="N101" s="9">
        <v>0</v>
      </c>
      <c r="O101" s="13">
        <v>42941</v>
      </c>
      <c r="P101" s="13">
        <v>42941</v>
      </c>
    </row>
    <row r="102" spans="1:16" ht="14.25">
      <c r="A102" s="10">
        <v>2017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0</v>
      </c>
      <c r="M102" s="8">
        <v>2017</v>
      </c>
      <c r="N102" s="9">
        <v>1558740</v>
      </c>
      <c r="O102" s="13">
        <v>42941</v>
      </c>
      <c r="P102" s="13">
        <v>42941</v>
      </c>
    </row>
    <row r="103" spans="1:16" ht="14.25">
      <c r="A103" s="10">
        <v>2017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8</v>
      </c>
      <c r="M103" s="8">
        <v>2025</v>
      </c>
      <c r="N103" s="9">
        <v>0</v>
      </c>
      <c r="O103" s="13">
        <v>42941</v>
      </c>
      <c r="P103" s="13">
        <v>42941</v>
      </c>
    </row>
    <row r="104" spans="1:16" ht="14.25">
      <c r="A104" s="10">
        <v>2017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6</v>
      </c>
      <c r="M104" s="8">
        <v>2023</v>
      </c>
      <c r="N104" s="9">
        <v>0</v>
      </c>
      <c r="O104" s="13">
        <v>42941</v>
      </c>
      <c r="P104" s="13">
        <v>42941</v>
      </c>
    </row>
    <row r="105" spans="1:16" ht="14.25">
      <c r="A105" s="10">
        <v>2017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9</v>
      </c>
      <c r="M105" s="8">
        <v>2026</v>
      </c>
      <c r="N105" s="9">
        <v>0</v>
      </c>
      <c r="O105" s="13">
        <v>42941</v>
      </c>
      <c r="P105" s="13">
        <v>42941</v>
      </c>
    </row>
    <row r="106" spans="1:16" ht="14.25">
      <c r="A106" s="10">
        <v>2017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0</v>
      </c>
      <c r="M106" s="8">
        <v>2017</v>
      </c>
      <c r="N106" s="9">
        <v>0</v>
      </c>
      <c r="O106" s="13">
        <v>42941</v>
      </c>
      <c r="P106" s="13">
        <v>42941</v>
      </c>
    </row>
    <row r="107" spans="1:16" ht="14.25">
      <c r="A107" s="10">
        <v>2017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2</v>
      </c>
      <c r="M107" s="8">
        <v>2019</v>
      </c>
      <c r="N107" s="9">
        <v>0</v>
      </c>
      <c r="O107" s="13">
        <v>42941</v>
      </c>
      <c r="P107" s="13">
        <v>42941</v>
      </c>
    </row>
    <row r="108" spans="1:16" ht="14.25">
      <c r="A108" s="10">
        <v>2017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1</v>
      </c>
      <c r="M108" s="8">
        <v>2018</v>
      </c>
      <c r="N108" s="9">
        <v>0</v>
      </c>
      <c r="O108" s="13">
        <v>42941</v>
      </c>
      <c r="P108" s="13">
        <v>42941</v>
      </c>
    </row>
    <row r="109" spans="1:16" ht="14.25">
      <c r="A109" s="10">
        <v>2017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3</v>
      </c>
      <c r="M109" s="8">
        <v>2020</v>
      </c>
      <c r="N109" s="9">
        <v>0</v>
      </c>
      <c r="O109" s="13">
        <v>42941</v>
      </c>
      <c r="P109" s="13">
        <v>42941</v>
      </c>
    </row>
    <row r="110" spans="1:16" ht="14.25">
      <c r="A110" s="10">
        <v>2017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5</v>
      </c>
      <c r="M110" s="8">
        <v>2022</v>
      </c>
      <c r="N110" s="9">
        <v>0</v>
      </c>
      <c r="O110" s="13">
        <v>42941</v>
      </c>
      <c r="P110" s="13">
        <v>42941</v>
      </c>
    </row>
    <row r="111" spans="1:16" ht="14.25">
      <c r="A111" s="10">
        <v>2017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8</v>
      </c>
      <c r="M111" s="8">
        <v>2025</v>
      </c>
      <c r="N111" s="9">
        <v>0</v>
      </c>
      <c r="O111" s="13">
        <v>42941</v>
      </c>
      <c r="P111" s="13">
        <v>42941</v>
      </c>
    </row>
    <row r="112" spans="1:16" ht="14.25">
      <c r="A112" s="10">
        <v>2017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4</v>
      </c>
      <c r="M112" s="8">
        <v>2021</v>
      </c>
      <c r="N112" s="9">
        <v>0</v>
      </c>
      <c r="O112" s="13">
        <v>42941</v>
      </c>
      <c r="P112" s="13">
        <v>42941</v>
      </c>
    </row>
    <row r="113" spans="1:16" ht="14.25">
      <c r="A113" s="10">
        <v>2017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7</v>
      </c>
      <c r="M113" s="8">
        <v>2024</v>
      </c>
      <c r="N113" s="9">
        <v>0</v>
      </c>
      <c r="O113" s="13">
        <v>42941</v>
      </c>
      <c r="P113" s="13">
        <v>42941</v>
      </c>
    </row>
    <row r="114" spans="1:16" ht="14.25">
      <c r="A114" s="10">
        <v>2017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0</v>
      </c>
      <c r="M114" s="8">
        <v>2017</v>
      </c>
      <c r="N114" s="9">
        <v>0</v>
      </c>
      <c r="O114" s="13">
        <v>42941</v>
      </c>
      <c r="P114" s="13">
        <v>42941</v>
      </c>
    </row>
    <row r="115" spans="1:16" ht="14.25">
      <c r="A115" s="10">
        <v>2017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2</v>
      </c>
      <c r="M115" s="8">
        <v>2019</v>
      </c>
      <c r="N115" s="9">
        <v>0</v>
      </c>
      <c r="O115" s="13">
        <v>42941</v>
      </c>
      <c r="P115" s="13">
        <v>42941</v>
      </c>
    </row>
    <row r="116" spans="1:16" ht="14.25">
      <c r="A116" s="10">
        <v>2017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3</v>
      </c>
      <c r="M116" s="8">
        <v>2020</v>
      </c>
      <c r="N116" s="9">
        <v>0</v>
      </c>
      <c r="O116" s="13">
        <v>42941</v>
      </c>
      <c r="P116" s="13">
        <v>42941</v>
      </c>
    </row>
    <row r="117" spans="1:16" ht="14.25">
      <c r="A117" s="10">
        <v>2017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5</v>
      </c>
      <c r="M117" s="8">
        <v>2022</v>
      </c>
      <c r="N117" s="9">
        <v>0</v>
      </c>
      <c r="O117" s="13">
        <v>42941</v>
      </c>
      <c r="P117" s="13">
        <v>42941</v>
      </c>
    </row>
    <row r="118" spans="1:16" ht="14.25">
      <c r="A118" s="10">
        <v>2017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9</v>
      </c>
      <c r="M118" s="8">
        <v>2026</v>
      </c>
      <c r="N118" s="9">
        <v>0</v>
      </c>
      <c r="O118" s="13">
        <v>42941</v>
      </c>
      <c r="P118" s="13">
        <v>42941</v>
      </c>
    </row>
    <row r="119" spans="1:16" ht="14.25">
      <c r="A119" s="10">
        <v>2017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4</v>
      </c>
      <c r="M119" s="8">
        <v>2021</v>
      </c>
      <c r="N119" s="9">
        <v>0</v>
      </c>
      <c r="O119" s="13">
        <v>42941</v>
      </c>
      <c r="P119" s="13">
        <v>42941</v>
      </c>
    </row>
    <row r="120" spans="1:16" ht="14.25">
      <c r="A120" s="10">
        <v>2017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6</v>
      </c>
      <c r="M120" s="8">
        <v>2023</v>
      </c>
      <c r="N120" s="9">
        <v>0</v>
      </c>
      <c r="O120" s="13">
        <v>42941</v>
      </c>
      <c r="P120" s="13">
        <v>42941</v>
      </c>
    </row>
    <row r="121" spans="1:16" ht="14.25">
      <c r="A121" s="10">
        <v>2017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1</v>
      </c>
      <c r="M121" s="8">
        <v>2018</v>
      </c>
      <c r="N121" s="9">
        <v>0</v>
      </c>
      <c r="O121" s="13">
        <v>42941</v>
      </c>
      <c r="P121" s="13">
        <v>42941</v>
      </c>
    </row>
    <row r="122" spans="1:16" ht="14.25">
      <c r="A122" s="10">
        <v>2017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7</v>
      </c>
      <c r="M122" s="8">
        <v>2024</v>
      </c>
      <c r="N122" s="9">
        <v>0</v>
      </c>
      <c r="O122" s="13">
        <v>42941</v>
      </c>
      <c r="P122" s="13">
        <v>42941</v>
      </c>
    </row>
    <row r="123" spans="1:16" ht="14.25">
      <c r="A123" s="10">
        <v>2017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8</v>
      </c>
      <c r="M123" s="8">
        <v>2025</v>
      </c>
      <c r="N123" s="9">
        <v>0</v>
      </c>
      <c r="O123" s="13">
        <v>42941</v>
      </c>
      <c r="P123" s="13">
        <v>42941</v>
      </c>
    </row>
    <row r="124" spans="1:16" ht="14.25">
      <c r="A124" s="10">
        <v>2017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0</v>
      </c>
      <c r="M124" s="8">
        <v>2017</v>
      </c>
      <c r="N124" s="9">
        <v>0</v>
      </c>
      <c r="O124" s="13">
        <v>42941</v>
      </c>
      <c r="P124" s="13">
        <v>42941</v>
      </c>
    </row>
    <row r="125" spans="1:16" ht="14.25">
      <c r="A125" s="10">
        <v>2017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4</v>
      </c>
      <c r="M125" s="8">
        <v>2021</v>
      </c>
      <c r="N125" s="9">
        <v>0</v>
      </c>
      <c r="O125" s="13">
        <v>42941</v>
      </c>
      <c r="P125" s="13">
        <v>42941</v>
      </c>
    </row>
    <row r="126" spans="1:16" ht="14.25">
      <c r="A126" s="10">
        <v>2017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5</v>
      </c>
      <c r="M126" s="8">
        <v>2022</v>
      </c>
      <c r="N126" s="9">
        <v>0</v>
      </c>
      <c r="O126" s="13">
        <v>42941</v>
      </c>
      <c r="P126" s="13">
        <v>42941</v>
      </c>
    </row>
    <row r="127" spans="1:16" ht="14.25">
      <c r="A127" s="10">
        <v>2017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9</v>
      </c>
      <c r="M127" s="8">
        <v>2026</v>
      </c>
      <c r="N127" s="9">
        <v>0</v>
      </c>
      <c r="O127" s="13">
        <v>42941</v>
      </c>
      <c r="P127" s="13">
        <v>42941</v>
      </c>
    </row>
    <row r="128" spans="1:16" ht="14.25">
      <c r="A128" s="10">
        <v>2017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2</v>
      </c>
      <c r="M128" s="8">
        <v>2019</v>
      </c>
      <c r="N128" s="9">
        <v>0</v>
      </c>
      <c r="O128" s="13">
        <v>42941</v>
      </c>
      <c r="P128" s="13">
        <v>42941</v>
      </c>
    </row>
    <row r="129" spans="1:16" ht="14.25">
      <c r="A129" s="10">
        <v>2017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8</v>
      </c>
      <c r="M129" s="8">
        <v>2025</v>
      </c>
      <c r="N129" s="9">
        <v>0</v>
      </c>
      <c r="O129" s="13">
        <v>42941</v>
      </c>
      <c r="P129" s="13">
        <v>42941</v>
      </c>
    </row>
    <row r="130" spans="1:16" ht="14.25">
      <c r="A130" s="10">
        <v>2017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3</v>
      </c>
      <c r="M130" s="8">
        <v>2020</v>
      </c>
      <c r="N130" s="9">
        <v>0</v>
      </c>
      <c r="O130" s="13">
        <v>42941</v>
      </c>
      <c r="P130" s="13">
        <v>42941</v>
      </c>
    </row>
    <row r="131" spans="1:16" ht="14.25">
      <c r="A131" s="10">
        <v>2017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7</v>
      </c>
      <c r="M131" s="8">
        <v>2024</v>
      </c>
      <c r="N131" s="9">
        <v>0</v>
      </c>
      <c r="O131" s="13">
        <v>42941</v>
      </c>
      <c r="P131" s="13">
        <v>42941</v>
      </c>
    </row>
    <row r="132" spans="1:16" ht="14.25">
      <c r="A132" s="10">
        <v>2017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1</v>
      </c>
      <c r="M132" s="8">
        <v>2018</v>
      </c>
      <c r="N132" s="9">
        <v>0</v>
      </c>
      <c r="O132" s="13">
        <v>42941</v>
      </c>
      <c r="P132" s="13">
        <v>42941</v>
      </c>
    </row>
    <row r="133" spans="1:16" ht="14.25">
      <c r="A133" s="10">
        <v>2017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6</v>
      </c>
      <c r="M133" s="8">
        <v>2023</v>
      </c>
      <c r="N133" s="9">
        <v>0</v>
      </c>
      <c r="O133" s="13">
        <v>42941</v>
      </c>
      <c r="P133" s="13">
        <v>42941</v>
      </c>
    </row>
    <row r="134" spans="1:16" ht="14.25">
      <c r="A134" s="10">
        <v>2017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8</v>
      </c>
      <c r="M134" s="8">
        <v>2025</v>
      </c>
      <c r="N134" s="9">
        <v>0</v>
      </c>
      <c r="O134" s="13">
        <v>42941</v>
      </c>
      <c r="P134" s="13">
        <v>42941</v>
      </c>
    </row>
    <row r="135" spans="1:16" ht="14.25">
      <c r="A135" s="10">
        <v>2017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6</v>
      </c>
      <c r="M135" s="8">
        <v>2023</v>
      </c>
      <c r="N135" s="9">
        <v>0</v>
      </c>
      <c r="O135" s="13">
        <v>42941</v>
      </c>
      <c r="P135" s="13">
        <v>42941</v>
      </c>
    </row>
    <row r="136" spans="1:16" ht="14.25">
      <c r="A136" s="10">
        <v>2017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4</v>
      </c>
      <c r="M136" s="8">
        <v>2021</v>
      </c>
      <c r="N136" s="9">
        <v>0</v>
      </c>
      <c r="O136" s="13">
        <v>42941</v>
      </c>
      <c r="P136" s="13">
        <v>42941</v>
      </c>
    </row>
    <row r="137" spans="1:16" ht="14.25">
      <c r="A137" s="10">
        <v>2017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2</v>
      </c>
      <c r="M137" s="8">
        <v>2019</v>
      </c>
      <c r="N137" s="9">
        <v>0</v>
      </c>
      <c r="O137" s="13">
        <v>42941</v>
      </c>
      <c r="P137" s="13">
        <v>42941</v>
      </c>
    </row>
    <row r="138" spans="1:16" ht="14.25">
      <c r="A138" s="10">
        <v>2017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7</v>
      </c>
      <c r="M138" s="8">
        <v>2024</v>
      </c>
      <c r="N138" s="9">
        <v>0</v>
      </c>
      <c r="O138" s="13">
        <v>42941</v>
      </c>
      <c r="P138" s="13">
        <v>42941</v>
      </c>
    </row>
    <row r="139" spans="1:16" ht="14.25">
      <c r="A139" s="10">
        <v>2017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0</v>
      </c>
      <c r="M139" s="8">
        <v>2017</v>
      </c>
      <c r="N139" s="9">
        <v>0</v>
      </c>
      <c r="O139" s="13">
        <v>42941</v>
      </c>
      <c r="P139" s="13">
        <v>42941</v>
      </c>
    </row>
    <row r="140" spans="1:16" ht="14.25">
      <c r="A140" s="10">
        <v>2017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5</v>
      </c>
      <c r="M140" s="8">
        <v>2022</v>
      </c>
      <c r="N140" s="9">
        <v>0</v>
      </c>
      <c r="O140" s="13">
        <v>42941</v>
      </c>
      <c r="P140" s="13">
        <v>42941</v>
      </c>
    </row>
    <row r="141" spans="1:16" ht="14.25">
      <c r="A141" s="10">
        <v>2017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9</v>
      </c>
      <c r="M141" s="8">
        <v>2026</v>
      </c>
      <c r="N141" s="9">
        <v>0</v>
      </c>
      <c r="O141" s="13">
        <v>42941</v>
      </c>
      <c r="P141" s="13">
        <v>42941</v>
      </c>
    </row>
    <row r="142" spans="1:16" ht="14.25">
      <c r="A142" s="10">
        <v>2017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3</v>
      </c>
      <c r="M142" s="8">
        <v>2020</v>
      </c>
      <c r="N142" s="9">
        <v>0</v>
      </c>
      <c r="O142" s="13">
        <v>42941</v>
      </c>
      <c r="P142" s="13">
        <v>42941</v>
      </c>
    </row>
    <row r="143" spans="1:16" ht="14.25">
      <c r="A143" s="10">
        <v>2017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1</v>
      </c>
      <c r="M143" s="8">
        <v>2018</v>
      </c>
      <c r="N143" s="9">
        <v>0</v>
      </c>
      <c r="O143" s="13">
        <v>42941</v>
      </c>
      <c r="P143" s="13">
        <v>42941</v>
      </c>
    </row>
    <row r="144" spans="1:16" ht="14.25">
      <c r="A144" s="10">
        <v>2017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7</v>
      </c>
      <c r="M144" s="8">
        <v>2024</v>
      </c>
      <c r="N144" s="9">
        <v>0</v>
      </c>
      <c r="O144" s="13">
        <v>42941</v>
      </c>
      <c r="P144" s="13">
        <v>42941</v>
      </c>
    </row>
    <row r="145" spans="1:16" ht="14.25">
      <c r="A145" s="10">
        <v>2017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5</v>
      </c>
      <c r="M145" s="8">
        <v>2022</v>
      </c>
      <c r="N145" s="9">
        <v>0</v>
      </c>
      <c r="O145" s="13">
        <v>42941</v>
      </c>
      <c r="P145" s="13">
        <v>42941</v>
      </c>
    </row>
    <row r="146" spans="1:16" ht="14.25">
      <c r="A146" s="10">
        <v>2017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9</v>
      </c>
      <c r="M146" s="8">
        <v>2026</v>
      </c>
      <c r="N146" s="9">
        <v>0</v>
      </c>
      <c r="O146" s="13">
        <v>42941</v>
      </c>
      <c r="P146" s="13">
        <v>42941</v>
      </c>
    </row>
    <row r="147" spans="1:16" ht="14.25">
      <c r="A147" s="10">
        <v>2017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2</v>
      </c>
      <c r="M147" s="8">
        <v>2019</v>
      </c>
      <c r="N147" s="9">
        <v>0</v>
      </c>
      <c r="O147" s="13">
        <v>42941</v>
      </c>
      <c r="P147" s="13">
        <v>42941</v>
      </c>
    </row>
    <row r="148" spans="1:16" ht="14.25">
      <c r="A148" s="10">
        <v>2017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3</v>
      </c>
      <c r="M148" s="8">
        <v>2020</v>
      </c>
      <c r="N148" s="9">
        <v>0</v>
      </c>
      <c r="O148" s="13">
        <v>42941</v>
      </c>
      <c r="P148" s="13">
        <v>42941</v>
      </c>
    </row>
    <row r="149" spans="1:16" ht="14.25">
      <c r="A149" s="10">
        <v>2017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8</v>
      </c>
      <c r="M149" s="8">
        <v>2025</v>
      </c>
      <c r="N149" s="9">
        <v>0</v>
      </c>
      <c r="O149" s="13">
        <v>42941</v>
      </c>
      <c r="P149" s="13">
        <v>42941</v>
      </c>
    </row>
    <row r="150" spans="1:16" ht="14.25">
      <c r="A150" s="10">
        <v>2017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1</v>
      </c>
      <c r="M150" s="8">
        <v>2018</v>
      </c>
      <c r="N150" s="9">
        <v>0</v>
      </c>
      <c r="O150" s="13">
        <v>42941</v>
      </c>
      <c r="P150" s="13">
        <v>42941</v>
      </c>
    </row>
    <row r="151" spans="1:16" ht="14.25">
      <c r="A151" s="10">
        <v>2017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4</v>
      </c>
      <c r="M151" s="8">
        <v>2021</v>
      </c>
      <c r="N151" s="9">
        <v>0</v>
      </c>
      <c r="O151" s="13">
        <v>42941</v>
      </c>
      <c r="P151" s="13">
        <v>42941</v>
      </c>
    </row>
    <row r="152" spans="1:16" ht="14.25">
      <c r="A152" s="10">
        <v>2017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0</v>
      </c>
      <c r="M152" s="8">
        <v>2017</v>
      </c>
      <c r="N152" s="9">
        <v>0</v>
      </c>
      <c r="O152" s="13">
        <v>42941</v>
      </c>
      <c r="P152" s="13">
        <v>42941</v>
      </c>
    </row>
    <row r="153" spans="1:16" ht="14.25">
      <c r="A153" s="10">
        <v>2017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6</v>
      </c>
      <c r="M153" s="8">
        <v>2023</v>
      </c>
      <c r="N153" s="9">
        <v>0</v>
      </c>
      <c r="O153" s="13">
        <v>42941</v>
      </c>
      <c r="P153" s="13">
        <v>42941</v>
      </c>
    </row>
    <row r="154" spans="1:16" ht="14.25">
      <c r="A154" s="10">
        <v>2017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3</v>
      </c>
      <c r="M154" s="8">
        <v>2020</v>
      </c>
      <c r="N154" s="9">
        <v>0</v>
      </c>
      <c r="O154" s="13">
        <v>42941</v>
      </c>
      <c r="P154" s="13">
        <v>42941</v>
      </c>
    </row>
    <row r="155" spans="1:16" ht="14.25">
      <c r="A155" s="10">
        <v>2017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9</v>
      </c>
      <c r="M155" s="8">
        <v>2026</v>
      </c>
      <c r="N155" s="9">
        <v>0</v>
      </c>
      <c r="O155" s="13">
        <v>42941</v>
      </c>
      <c r="P155" s="13">
        <v>42941</v>
      </c>
    </row>
    <row r="156" spans="1:16" ht="14.25">
      <c r="A156" s="10">
        <v>2017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4</v>
      </c>
      <c r="M156" s="8">
        <v>2021</v>
      </c>
      <c r="N156" s="9">
        <v>0</v>
      </c>
      <c r="O156" s="13">
        <v>42941</v>
      </c>
      <c r="P156" s="13">
        <v>42941</v>
      </c>
    </row>
    <row r="157" spans="1:16" ht="14.25">
      <c r="A157" s="10">
        <v>2017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0</v>
      </c>
      <c r="M157" s="8">
        <v>2017</v>
      </c>
      <c r="N157" s="9">
        <v>3113</v>
      </c>
      <c r="O157" s="13">
        <v>42941</v>
      </c>
      <c r="P157" s="13">
        <v>42941</v>
      </c>
    </row>
    <row r="158" spans="1:16" ht="14.25">
      <c r="A158" s="10">
        <v>2017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8</v>
      </c>
      <c r="M158" s="8">
        <v>2025</v>
      </c>
      <c r="N158" s="9">
        <v>0</v>
      </c>
      <c r="O158" s="13">
        <v>42941</v>
      </c>
      <c r="P158" s="13">
        <v>42941</v>
      </c>
    </row>
    <row r="159" spans="1:16" ht="14.25">
      <c r="A159" s="10">
        <v>2017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2</v>
      </c>
      <c r="M159" s="8">
        <v>2019</v>
      </c>
      <c r="N159" s="9">
        <v>2193</v>
      </c>
      <c r="O159" s="13">
        <v>42941</v>
      </c>
      <c r="P159" s="13">
        <v>42941</v>
      </c>
    </row>
    <row r="160" spans="1:16" ht="14.25">
      <c r="A160" s="10">
        <v>2017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5</v>
      </c>
      <c r="M160" s="8">
        <v>2022</v>
      </c>
      <c r="N160" s="9">
        <v>0</v>
      </c>
      <c r="O160" s="13">
        <v>42941</v>
      </c>
      <c r="P160" s="13">
        <v>42941</v>
      </c>
    </row>
    <row r="161" spans="1:16" ht="14.25">
      <c r="A161" s="10">
        <v>2017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6</v>
      </c>
      <c r="M161" s="8">
        <v>2023</v>
      </c>
      <c r="N161" s="9">
        <v>0</v>
      </c>
      <c r="O161" s="13">
        <v>42941</v>
      </c>
      <c r="P161" s="13">
        <v>42941</v>
      </c>
    </row>
    <row r="162" spans="1:16" ht="14.25">
      <c r="A162" s="10">
        <v>2017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1</v>
      </c>
      <c r="M162" s="8">
        <v>2018</v>
      </c>
      <c r="N162" s="9">
        <v>3027</v>
      </c>
      <c r="O162" s="13">
        <v>42941</v>
      </c>
      <c r="P162" s="13">
        <v>42941</v>
      </c>
    </row>
    <row r="163" spans="1:16" ht="14.25">
      <c r="A163" s="10">
        <v>2017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7</v>
      </c>
      <c r="M163" s="8">
        <v>2024</v>
      </c>
      <c r="N163" s="9">
        <v>0</v>
      </c>
      <c r="O163" s="13">
        <v>42941</v>
      </c>
      <c r="P163" s="13">
        <v>42941</v>
      </c>
    </row>
    <row r="164" spans="1:16" ht="14.25">
      <c r="A164" s="10">
        <v>2017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0</v>
      </c>
      <c r="M164" s="8">
        <v>2017</v>
      </c>
      <c r="N164" s="9">
        <v>242250</v>
      </c>
      <c r="O164" s="13">
        <v>42941</v>
      </c>
      <c r="P164" s="13">
        <v>42941</v>
      </c>
    </row>
    <row r="165" spans="1:16" ht="14.25">
      <c r="A165" s="10">
        <v>2017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4</v>
      </c>
      <c r="M165" s="8">
        <v>2021</v>
      </c>
      <c r="N165" s="9">
        <v>0</v>
      </c>
      <c r="O165" s="13">
        <v>42941</v>
      </c>
      <c r="P165" s="13">
        <v>42941</v>
      </c>
    </row>
    <row r="166" spans="1:16" ht="14.25">
      <c r="A166" s="10">
        <v>2017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2</v>
      </c>
      <c r="M166" s="8">
        <v>2019</v>
      </c>
      <c r="N166" s="9">
        <v>2416023</v>
      </c>
      <c r="O166" s="13">
        <v>42941</v>
      </c>
      <c r="P166" s="13">
        <v>42941</v>
      </c>
    </row>
    <row r="167" spans="1:16" ht="14.25">
      <c r="A167" s="10">
        <v>2017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3</v>
      </c>
      <c r="M167" s="8">
        <v>2020</v>
      </c>
      <c r="N167" s="9">
        <v>0</v>
      </c>
      <c r="O167" s="13">
        <v>42941</v>
      </c>
      <c r="P167" s="13">
        <v>42941</v>
      </c>
    </row>
    <row r="168" spans="1:16" ht="14.25">
      <c r="A168" s="10">
        <v>2017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7</v>
      </c>
      <c r="M168" s="8">
        <v>2024</v>
      </c>
      <c r="N168" s="9">
        <v>0</v>
      </c>
      <c r="O168" s="13">
        <v>42941</v>
      </c>
      <c r="P168" s="13">
        <v>42941</v>
      </c>
    </row>
    <row r="169" spans="1:16" ht="14.25">
      <c r="A169" s="10">
        <v>2017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6</v>
      </c>
      <c r="M169" s="8">
        <v>2023</v>
      </c>
      <c r="N169" s="9">
        <v>0</v>
      </c>
      <c r="O169" s="13">
        <v>42941</v>
      </c>
      <c r="P169" s="13">
        <v>42941</v>
      </c>
    </row>
    <row r="170" spans="1:16" ht="14.25">
      <c r="A170" s="10">
        <v>2017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5</v>
      </c>
      <c r="M170" s="8">
        <v>2022</v>
      </c>
      <c r="N170" s="9">
        <v>0</v>
      </c>
      <c r="O170" s="13">
        <v>42941</v>
      </c>
      <c r="P170" s="13">
        <v>42941</v>
      </c>
    </row>
    <row r="171" spans="1:16" ht="14.25">
      <c r="A171" s="10">
        <v>2017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9</v>
      </c>
      <c r="M171" s="8">
        <v>2026</v>
      </c>
      <c r="N171" s="9">
        <v>0</v>
      </c>
      <c r="O171" s="13">
        <v>42941</v>
      </c>
      <c r="P171" s="13">
        <v>42941</v>
      </c>
    </row>
    <row r="172" spans="1:16" ht="14.25">
      <c r="A172" s="10">
        <v>2017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8</v>
      </c>
      <c r="M172" s="8">
        <v>2025</v>
      </c>
      <c r="N172" s="9">
        <v>0</v>
      </c>
      <c r="O172" s="13">
        <v>42941</v>
      </c>
      <c r="P172" s="13">
        <v>42941</v>
      </c>
    </row>
    <row r="173" spans="1:16" ht="14.25">
      <c r="A173" s="10">
        <v>2017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1</v>
      </c>
      <c r="M173" s="8">
        <v>2018</v>
      </c>
      <c r="N173" s="9">
        <v>2731444</v>
      </c>
      <c r="O173" s="13">
        <v>42941</v>
      </c>
      <c r="P173" s="13">
        <v>42941</v>
      </c>
    </row>
    <row r="174" spans="1:16" ht="14.25">
      <c r="A174" s="10">
        <v>2017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9</v>
      </c>
      <c r="M174" s="8">
        <v>2026</v>
      </c>
      <c r="N174" s="9">
        <v>0</v>
      </c>
      <c r="O174" s="13">
        <v>42941</v>
      </c>
      <c r="P174" s="13">
        <v>42941</v>
      </c>
    </row>
    <row r="175" spans="1:16" ht="14.25">
      <c r="A175" s="10">
        <v>2017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8</v>
      </c>
      <c r="M175" s="8">
        <v>2025</v>
      </c>
      <c r="N175" s="9">
        <v>0</v>
      </c>
      <c r="O175" s="13">
        <v>42941</v>
      </c>
      <c r="P175" s="13">
        <v>42941</v>
      </c>
    </row>
    <row r="176" spans="1:16" ht="14.25">
      <c r="A176" s="10">
        <v>2017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1</v>
      </c>
      <c r="M176" s="8">
        <v>2018</v>
      </c>
      <c r="N176" s="9">
        <v>0</v>
      </c>
      <c r="O176" s="13">
        <v>42941</v>
      </c>
      <c r="P176" s="13">
        <v>42941</v>
      </c>
    </row>
    <row r="177" spans="1:16" ht="14.25">
      <c r="A177" s="10">
        <v>2017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6</v>
      </c>
      <c r="M177" s="8">
        <v>2023</v>
      </c>
      <c r="N177" s="9">
        <v>0</v>
      </c>
      <c r="O177" s="13">
        <v>42941</v>
      </c>
      <c r="P177" s="13">
        <v>42941</v>
      </c>
    </row>
    <row r="178" spans="1:16" ht="14.25">
      <c r="A178" s="10">
        <v>2017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7</v>
      </c>
      <c r="M178" s="8">
        <v>2024</v>
      </c>
      <c r="N178" s="9">
        <v>0</v>
      </c>
      <c r="O178" s="13">
        <v>42941</v>
      </c>
      <c r="P178" s="13">
        <v>42941</v>
      </c>
    </row>
    <row r="179" spans="1:16" ht="14.25">
      <c r="A179" s="10">
        <v>2017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3</v>
      </c>
      <c r="M179" s="8">
        <v>2020</v>
      </c>
      <c r="N179" s="9">
        <v>0</v>
      </c>
      <c r="O179" s="13">
        <v>42941</v>
      </c>
      <c r="P179" s="13">
        <v>42941</v>
      </c>
    </row>
    <row r="180" spans="1:16" ht="14.25">
      <c r="A180" s="10">
        <v>2017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5</v>
      </c>
      <c r="M180" s="8">
        <v>2022</v>
      </c>
      <c r="N180" s="9">
        <v>0</v>
      </c>
      <c r="O180" s="13">
        <v>42941</v>
      </c>
      <c r="P180" s="13">
        <v>42941</v>
      </c>
    </row>
    <row r="181" spans="1:16" ht="14.25">
      <c r="A181" s="10">
        <v>2017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0</v>
      </c>
      <c r="M181" s="8">
        <v>2017</v>
      </c>
      <c r="N181" s="9">
        <v>0</v>
      </c>
      <c r="O181" s="13">
        <v>42941</v>
      </c>
      <c r="P181" s="13">
        <v>42941</v>
      </c>
    </row>
    <row r="182" spans="1:16" ht="14.25">
      <c r="A182" s="10">
        <v>2017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4</v>
      </c>
      <c r="M182" s="8">
        <v>2021</v>
      </c>
      <c r="N182" s="9">
        <v>0</v>
      </c>
      <c r="O182" s="13">
        <v>42941</v>
      </c>
      <c r="P182" s="13">
        <v>42941</v>
      </c>
    </row>
    <row r="183" spans="1:16" ht="14.25">
      <c r="A183" s="10">
        <v>2017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2</v>
      </c>
      <c r="M183" s="8">
        <v>2019</v>
      </c>
      <c r="N183" s="9">
        <v>0</v>
      </c>
      <c r="O183" s="13">
        <v>42941</v>
      </c>
      <c r="P183" s="13">
        <v>42941</v>
      </c>
    </row>
    <row r="184" spans="1:16" ht="14.25">
      <c r="A184" s="10">
        <v>2017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1</v>
      </c>
      <c r="M184" s="8">
        <v>2018</v>
      </c>
      <c r="N184" s="9">
        <v>0</v>
      </c>
      <c r="O184" s="13">
        <v>42941</v>
      </c>
      <c r="P184" s="13">
        <v>42941</v>
      </c>
    </row>
    <row r="185" spans="1:16" ht="14.25">
      <c r="A185" s="10">
        <v>2017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6</v>
      </c>
      <c r="M185" s="8">
        <v>2023</v>
      </c>
      <c r="N185" s="9">
        <v>0</v>
      </c>
      <c r="O185" s="13">
        <v>42941</v>
      </c>
      <c r="P185" s="13">
        <v>42941</v>
      </c>
    </row>
    <row r="186" spans="1:16" ht="14.25">
      <c r="A186" s="10">
        <v>2017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0</v>
      </c>
      <c r="M186" s="8">
        <v>2017</v>
      </c>
      <c r="N186" s="9">
        <v>0</v>
      </c>
      <c r="O186" s="13">
        <v>42941</v>
      </c>
      <c r="P186" s="13">
        <v>42941</v>
      </c>
    </row>
    <row r="187" spans="1:16" ht="14.25">
      <c r="A187" s="10">
        <v>2017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3</v>
      </c>
      <c r="M187" s="8">
        <v>2020</v>
      </c>
      <c r="N187" s="9">
        <v>0</v>
      </c>
      <c r="O187" s="13">
        <v>42941</v>
      </c>
      <c r="P187" s="13">
        <v>42941</v>
      </c>
    </row>
    <row r="188" spans="1:16" ht="14.25">
      <c r="A188" s="10">
        <v>2017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9</v>
      </c>
      <c r="M188" s="8">
        <v>2026</v>
      </c>
      <c r="N188" s="9">
        <v>0</v>
      </c>
      <c r="O188" s="13">
        <v>42941</v>
      </c>
      <c r="P188" s="13">
        <v>42941</v>
      </c>
    </row>
    <row r="189" spans="1:16" ht="14.25">
      <c r="A189" s="10">
        <v>2017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8</v>
      </c>
      <c r="M189" s="8">
        <v>2025</v>
      </c>
      <c r="N189" s="9">
        <v>0</v>
      </c>
      <c r="O189" s="13">
        <v>42941</v>
      </c>
      <c r="P189" s="13">
        <v>42941</v>
      </c>
    </row>
    <row r="190" spans="1:16" ht="14.25">
      <c r="A190" s="10">
        <v>2017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2</v>
      </c>
      <c r="M190" s="8">
        <v>2019</v>
      </c>
      <c r="N190" s="9">
        <v>0</v>
      </c>
      <c r="O190" s="13">
        <v>42941</v>
      </c>
      <c r="P190" s="13">
        <v>42941</v>
      </c>
    </row>
    <row r="191" spans="1:16" ht="14.25">
      <c r="A191" s="10">
        <v>2017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5</v>
      </c>
      <c r="M191" s="8">
        <v>2022</v>
      </c>
      <c r="N191" s="9">
        <v>0</v>
      </c>
      <c r="O191" s="13">
        <v>42941</v>
      </c>
      <c r="P191" s="13">
        <v>42941</v>
      </c>
    </row>
    <row r="192" spans="1:16" ht="14.25">
      <c r="A192" s="10">
        <v>2017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7</v>
      </c>
      <c r="M192" s="8">
        <v>2024</v>
      </c>
      <c r="N192" s="9">
        <v>0</v>
      </c>
      <c r="O192" s="13">
        <v>42941</v>
      </c>
      <c r="P192" s="13">
        <v>42941</v>
      </c>
    </row>
    <row r="193" spans="1:16" ht="14.25">
      <c r="A193" s="10">
        <v>2017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4</v>
      </c>
      <c r="M193" s="8">
        <v>2021</v>
      </c>
      <c r="N193" s="9">
        <v>0</v>
      </c>
      <c r="O193" s="13">
        <v>42941</v>
      </c>
      <c r="P193" s="13">
        <v>42941</v>
      </c>
    </row>
    <row r="194" spans="1:16" ht="14.25">
      <c r="A194" s="10">
        <v>2017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4</v>
      </c>
      <c r="M194" s="8">
        <v>2021</v>
      </c>
      <c r="N194" s="9">
        <v>0</v>
      </c>
      <c r="O194" s="13">
        <v>42941</v>
      </c>
      <c r="P194" s="13">
        <v>42941</v>
      </c>
    </row>
    <row r="195" spans="1:16" ht="14.25">
      <c r="A195" s="10">
        <v>2017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2</v>
      </c>
      <c r="M195" s="8">
        <v>2019</v>
      </c>
      <c r="N195" s="9">
        <v>1375</v>
      </c>
      <c r="O195" s="13">
        <v>42941</v>
      </c>
      <c r="P195" s="13">
        <v>42941</v>
      </c>
    </row>
    <row r="196" spans="1:16" ht="14.25">
      <c r="A196" s="10">
        <v>2017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5</v>
      </c>
      <c r="M196" s="8">
        <v>2022</v>
      </c>
      <c r="N196" s="9">
        <v>0</v>
      </c>
      <c r="O196" s="13">
        <v>42941</v>
      </c>
      <c r="P196" s="13">
        <v>42941</v>
      </c>
    </row>
    <row r="197" spans="1:16" ht="14.25">
      <c r="A197" s="10">
        <v>2017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3</v>
      </c>
      <c r="M197" s="8">
        <v>2020</v>
      </c>
      <c r="N197" s="9">
        <v>1375</v>
      </c>
      <c r="O197" s="13">
        <v>42941</v>
      </c>
      <c r="P197" s="13">
        <v>42941</v>
      </c>
    </row>
    <row r="198" spans="1:16" ht="14.25">
      <c r="A198" s="10">
        <v>2017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0</v>
      </c>
      <c r="M198" s="8">
        <v>2017</v>
      </c>
      <c r="N198" s="9">
        <v>348864</v>
      </c>
      <c r="O198" s="13">
        <v>42941</v>
      </c>
      <c r="P198" s="13">
        <v>42941</v>
      </c>
    </row>
    <row r="199" spans="1:16" ht="14.25">
      <c r="A199" s="10">
        <v>2017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8</v>
      </c>
      <c r="M199" s="8">
        <v>2025</v>
      </c>
      <c r="N199" s="9">
        <v>0</v>
      </c>
      <c r="O199" s="13">
        <v>42941</v>
      </c>
      <c r="P199" s="13">
        <v>42941</v>
      </c>
    </row>
    <row r="200" spans="1:16" ht="14.25">
      <c r="A200" s="10">
        <v>2017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6</v>
      </c>
      <c r="M200" s="8">
        <v>2023</v>
      </c>
      <c r="N200" s="9">
        <v>0</v>
      </c>
      <c r="O200" s="13">
        <v>42941</v>
      </c>
      <c r="P200" s="13">
        <v>42941</v>
      </c>
    </row>
    <row r="201" spans="1:16" ht="14.25">
      <c r="A201" s="10">
        <v>2017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7</v>
      </c>
      <c r="M201" s="8">
        <v>2024</v>
      </c>
      <c r="N201" s="9">
        <v>0</v>
      </c>
      <c r="O201" s="13">
        <v>42941</v>
      </c>
      <c r="P201" s="13">
        <v>42941</v>
      </c>
    </row>
    <row r="202" spans="1:16" ht="14.25">
      <c r="A202" s="10">
        <v>2017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1</v>
      </c>
      <c r="M202" s="8">
        <v>2018</v>
      </c>
      <c r="N202" s="9">
        <v>95572.25</v>
      </c>
      <c r="O202" s="13">
        <v>42941</v>
      </c>
      <c r="P202" s="13">
        <v>42941</v>
      </c>
    </row>
    <row r="203" spans="1:16" ht="14.25">
      <c r="A203" s="10">
        <v>2017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9</v>
      </c>
      <c r="M203" s="8">
        <v>2026</v>
      </c>
      <c r="N203" s="9">
        <v>0</v>
      </c>
      <c r="O203" s="13">
        <v>42941</v>
      </c>
      <c r="P203" s="13">
        <v>42941</v>
      </c>
    </row>
    <row r="204" spans="1:16" ht="14.25">
      <c r="A204" s="10">
        <v>2017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7</v>
      </c>
      <c r="M204" s="8">
        <v>2024</v>
      </c>
      <c r="N204" s="9">
        <v>34958762</v>
      </c>
      <c r="O204" s="13">
        <v>42941</v>
      </c>
      <c r="P204" s="13">
        <v>42941</v>
      </c>
    </row>
    <row r="205" spans="1:16" ht="14.25">
      <c r="A205" s="10">
        <v>2017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9</v>
      </c>
      <c r="M205" s="8">
        <v>2026</v>
      </c>
      <c r="N205" s="9">
        <v>35054838</v>
      </c>
      <c r="O205" s="13">
        <v>42941</v>
      </c>
      <c r="P205" s="13">
        <v>42941</v>
      </c>
    </row>
    <row r="206" spans="1:16" ht="14.25">
      <c r="A206" s="10">
        <v>2017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8</v>
      </c>
      <c r="M206" s="8">
        <v>2025</v>
      </c>
      <c r="N206" s="9">
        <v>34958762</v>
      </c>
      <c r="O206" s="13">
        <v>42941</v>
      </c>
      <c r="P206" s="13">
        <v>42941</v>
      </c>
    </row>
    <row r="207" spans="1:16" ht="14.25">
      <c r="A207" s="10">
        <v>2017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0</v>
      </c>
      <c r="M207" s="8">
        <v>2017</v>
      </c>
      <c r="N207" s="9">
        <v>33280704.52</v>
      </c>
      <c r="O207" s="13">
        <v>42941</v>
      </c>
      <c r="P207" s="13">
        <v>42941</v>
      </c>
    </row>
    <row r="208" spans="1:16" ht="14.25">
      <c r="A208" s="10">
        <v>2017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5</v>
      </c>
      <c r="M208" s="8">
        <v>2022</v>
      </c>
      <c r="N208" s="9">
        <v>34858762</v>
      </c>
      <c r="O208" s="13">
        <v>42941</v>
      </c>
      <c r="P208" s="13">
        <v>42941</v>
      </c>
    </row>
    <row r="209" spans="1:16" ht="14.25">
      <c r="A209" s="10">
        <v>2017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6</v>
      </c>
      <c r="M209" s="8">
        <v>2023</v>
      </c>
      <c r="N209" s="9">
        <v>34958762</v>
      </c>
      <c r="O209" s="13">
        <v>42941</v>
      </c>
      <c r="P209" s="13">
        <v>42941</v>
      </c>
    </row>
    <row r="210" spans="1:16" ht="14.25">
      <c r="A210" s="10">
        <v>2017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2</v>
      </c>
      <c r="M210" s="8">
        <v>2019</v>
      </c>
      <c r="N210" s="9">
        <v>34039726</v>
      </c>
      <c r="O210" s="13">
        <v>42941</v>
      </c>
      <c r="P210" s="13">
        <v>42941</v>
      </c>
    </row>
    <row r="211" spans="1:16" ht="14.25">
      <c r="A211" s="10">
        <v>2017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3</v>
      </c>
      <c r="M211" s="8">
        <v>2020</v>
      </c>
      <c r="N211" s="9">
        <v>34441686</v>
      </c>
      <c r="O211" s="13">
        <v>42941</v>
      </c>
      <c r="P211" s="13">
        <v>42941</v>
      </c>
    </row>
    <row r="212" spans="1:16" ht="14.25">
      <c r="A212" s="10">
        <v>2017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1</v>
      </c>
      <c r="M212" s="8">
        <v>2018</v>
      </c>
      <c r="N212" s="9">
        <v>33521456</v>
      </c>
      <c r="O212" s="13">
        <v>42941</v>
      </c>
      <c r="P212" s="13">
        <v>42941</v>
      </c>
    </row>
    <row r="213" spans="1:16" ht="14.25">
      <c r="A213" s="10">
        <v>2017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4</v>
      </c>
      <c r="M213" s="8">
        <v>2021</v>
      </c>
      <c r="N213" s="9">
        <v>34771762</v>
      </c>
      <c r="O213" s="13">
        <v>42941</v>
      </c>
      <c r="P213" s="13">
        <v>42941</v>
      </c>
    </row>
    <row r="214" spans="1:16" ht="14.25">
      <c r="A214" s="10">
        <v>2017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3</v>
      </c>
      <c r="M214" s="8">
        <v>2020</v>
      </c>
      <c r="N214" s="9">
        <v>0</v>
      </c>
      <c r="O214" s="13">
        <v>42941</v>
      </c>
      <c r="P214" s="13">
        <v>42941</v>
      </c>
    </row>
    <row r="215" spans="1:16" ht="14.25">
      <c r="A215" s="10">
        <v>2017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1</v>
      </c>
      <c r="M215" s="8">
        <v>2018</v>
      </c>
      <c r="N215" s="9">
        <v>0</v>
      </c>
      <c r="O215" s="13">
        <v>42941</v>
      </c>
      <c r="P215" s="13">
        <v>42941</v>
      </c>
    </row>
    <row r="216" spans="1:16" ht="14.25">
      <c r="A216" s="10">
        <v>2017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6</v>
      </c>
      <c r="M216" s="8">
        <v>2023</v>
      </c>
      <c r="N216" s="9">
        <v>0</v>
      </c>
      <c r="O216" s="13">
        <v>42941</v>
      </c>
      <c r="P216" s="13">
        <v>42941</v>
      </c>
    </row>
    <row r="217" spans="1:16" ht="14.25">
      <c r="A217" s="10">
        <v>2017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9</v>
      </c>
      <c r="M217" s="8">
        <v>2026</v>
      </c>
      <c r="N217" s="9">
        <v>0</v>
      </c>
      <c r="O217" s="13">
        <v>42941</v>
      </c>
      <c r="P217" s="13">
        <v>42941</v>
      </c>
    </row>
    <row r="218" spans="1:16" ht="14.25">
      <c r="A218" s="10">
        <v>2017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2</v>
      </c>
      <c r="M218" s="8">
        <v>2019</v>
      </c>
      <c r="N218" s="9">
        <v>0</v>
      </c>
      <c r="O218" s="13">
        <v>42941</v>
      </c>
      <c r="P218" s="13">
        <v>42941</v>
      </c>
    </row>
    <row r="219" spans="1:16" ht="14.25">
      <c r="A219" s="10">
        <v>2017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5</v>
      </c>
      <c r="M219" s="8">
        <v>2022</v>
      </c>
      <c r="N219" s="9">
        <v>0</v>
      </c>
      <c r="O219" s="13">
        <v>42941</v>
      </c>
      <c r="P219" s="13">
        <v>42941</v>
      </c>
    </row>
    <row r="220" spans="1:16" ht="14.25">
      <c r="A220" s="10">
        <v>2017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7</v>
      </c>
      <c r="M220" s="8">
        <v>2024</v>
      </c>
      <c r="N220" s="9">
        <v>0</v>
      </c>
      <c r="O220" s="13">
        <v>42941</v>
      </c>
      <c r="P220" s="13">
        <v>42941</v>
      </c>
    </row>
    <row r="221" spans="1:16" ht="14.25">
      <c r="A221" s="10">
        <v>2017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0</v>
      </c>
      <c r="M221" s="8">
        <v>2017</v>
      </c>
      <c r="N221" s="9">
        <v>0</v>
      </c>
      <c r="O221" s="13">
        <v>42941</v>
      </c>
      <c r="P221" s="13">
        <v>42941</v>
      </c>
    </row>
    <row r="222" spans="1:16" ht="14.25">
      <c r="A222" s="10">
        <v>2017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8</v>
      </c>
      <c r="M222" s="8">
        <v>2025</v>
      </c>
      <c r="N222" s="9">
        <v>0</v>
      </c>
      <c r="O222" s="13">
        <v>42941</v>
      </c>
      <c r="P222" s="13">
        <v>42941</v>
      </c>
    </row>
    <row r="223" spans="1:16" ht="14.25">
      <c r="A223" s="10">
        <v>2017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4</v>
      </c>
      <c r="M223" s="8">
        <v>2021</v>
      </c>
      <c r="N223" s="9">
        <v>0</v>
      </c>
      <c r="O223" s="13">
        <v>42941</v>
      </c>
      <c r="P223" s="13">
        <v>42941</v>
      </c>
    </row>
    <row r="224" spans="1:16" ht="14.25">
      <c r="A224" s="10">
        <v>2017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1</v>
      </c>
      <c r="M224" s="8">
        <v>2018</v>
      </c>
      <c r="N224" s="9">
        <v>38833</v>
      </c>
      <c r="O224" s="13">
        <v>42941</v>
      </c>
      <c r="P224" s="13">
        <v>42941</v>
      </c>
    </row>
    <row r="225" spans="1:16" ht="14.25">
      <c r="A225" s="10">
        <v>2017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0</v>
      </c>
      <c r="M225" s="8">
        <v>2017</v>
      </c>
      <c r="N225" s="9">
        <v>103764</v>
      </c>
      <c r="O225" s="13">
        <v>42941</v>
      </c>
      <c r="P225" s="13">
        <v>42941</v>
      </c>
    </row>
    <row r="226" spans="1:16" ht="14.25">
      <c r="A226" s="10">
        <v>2017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4</v>
      </c>
      <c r="M226" s="8">
        <v>2021</v>
      </c>
      <c r="N226" s="9">
        <v>0</v>
      </c>
      <c r="O226" s="13">
        <v>42941</v>
      </c>
      <c r="P226" s="13">
        <v>42941</v>
      </c>
    </row>
    <row r="227" spans="1:16" ht="14.25">
      <c r="A227" s="10">
        <v>2017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5</v>
      </c>
      <c r="M227" s="8">
        <v>2022</v>
      </c>
      <c r="N227" s="9">
        <v>0</v>
      </c>
      <c r="O227" s="13">
        <v>42941</v>
      </c>
      <c r="P227" s="13">
        <v>42941</v>
      </c>
    </row>
    <row r="228" spans="1:16" ht="14.25">
      <c r="A228" s="10">
        <v>2017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7</v>
      </c>
      <c r="M228" s="8">
        <v>2024</v>
      </c>
      <c r="N228" s="9">
        <v>0</v>
      </c>
      <c r="O228" s="13">
        <v>42941</v>
      </c>
      <c r="P228" s="13">
        <v>42941</v>
      </c>
    </row>
    <row r="229" spans="1:16" ht="14.25">
      <c r="A229" s="10">
        <v>2017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2</v>
      </c>
      <c r="M229" s="8">
        <v>2019</v>
      </c>
      <c r="N229" s="9">
        <v>0</v>
      </c>
      <c r="O229" s="13">
        <v>42941</v>
      </c>
      <c r="P229" s="13">
        <v>42941</v>
      </c>
    </row>
    <row r="230" spans="1:16" ht="14.25">
      <c r="A230" s="10">
        <v>2017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8</v>
      </c>
      <c r="M230" s="8">
        <v>2025</v>
      </c>
      <c r="N230" s="9">
        <v>0</v>
      </c>
      <c r="O230" s="13">
        <v>42941</v>
      </c>
      <c r="P230" s="13">
        <v>42941</v>
      </c>
    </row>
    <row r="231" spans="1:16" ht="14.25">
      <c r="A231" s="10">
        <v>2017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3</v>
      </c>
      <c r="M231" s="8">
        <v>2020</v>
      </c>
      <c r="N231" s="9">
        <v>0</v>
      </c>
      <c r="O231" s="13">
        <v>42941</v>
      </c>
      <c r="P231" s="13">
        <v>42941</v>
      </c>
    </row>
    <row r="232" spans="1:16" ht="14.25">
      <c r="A232" s="10">
        <v>2017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9</v>
      </c>
      <c r="M232" s="8">
        <v>2026</v>
      </c>
      <c r="N232" s="9">
        <v>0</v>
      </c>
      <c r="O232" s="13">
        <v>42941</v>
      </c>
      <c r="P232" s="13">
        <v>42941</v>
      </c>
    </row>
    <row r="233" spans="1:16" ht="14.25">
      <c r="A233" s="10">
        <v>2017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6</v>
      </c>
      <c r="M233" s="8">
        <v>2023</v>
      </c>
      <c r="N233" s="9">
        <v>0</v>
      </c>
      <c r="O233" s="13">
        <v>42941</v>
      </c>
      <c r="P233" s="13">
        <v>42941</v>
      </c>
    </row>
    <row r="234" spans="1:16" ht="14.25">
      <c r="A234" s="10">
        <v>2017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4</v>
      </c>
      <c r="M234" s="8">
        <v>2021</v>
      </c>
      <c r="N234" s="9">
        <v>0</v>
      </c>
      <c r="O234" s="13">
        <v>42941</v>
      </c>
      <c r="P234" s="13">
        <v>42941</v>
      </c>
    </row>
    <row r="235" spans="1:16" ht="14.25">
      <c r="A235" s="10">
        <v>2017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6</v>
      </c>
      <c r="M235" s="8">
        <v>2023</v>
      </c>
      <c r="N235" s="9">
        <v>0</v>
      </c>
      <c r="O235" s="13">
        <v>42941</v>
      </c>
      <c r="P235" s="13">
        <v>42941</v>
      </c>
    </row>
    <row r="236" spans="1:16" ht="14.25">
      <c r="A236" s="10">
        <v>2017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9</v>
      </c>
      <c r="M236" s="8">
        <v>2026</v>
      </c>
      <c r="N236" s="9">
        <v>0</v>
      </c>
      <c r="O236" s="13">
        <v>42941</v>
      </c>
      <c r="P236" s="13">
        <v>42941</v>
      </c>
    </row>
    <row r="237" spans="1:16" ht="14.25">
      <c r="A237" s="10">
        <v>2017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5</v>
      </c>
      <c r="M237" s="8">
        <v>2022</v>
      </c>
      <c r="N237" s="9">
        <v>0</v>
      </c>
      <c r="O237" s="13">
        <v>42941</v>
      </c>
      <c r="P237" s="13">
        <v>42941</v>
      </c>
    </row>
    <row r="238" spans="1:16" ht="14.25">
      <c r="A238" s="10">
        <v>2017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7</v>
      </c>
      <c r="M238" s="8">
        <v>2024</v>
      </c>
      <c r="N238" s="9">
        <v>0</v>
      </c>
      <c r="O238" s="13">
        <v>42941</v>
      </c>
      <c r="P238" s="13">
        <v>42941</v>
      </c>
    </row>
    <row r="239" spans="1:16" ht="14.25">
      <c r="A239" s="10">
        <v>2017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3</v>
      </c>
      <c r="M239" s="8">
        <v>2020</v>
      </c>
      <c r="N239" s="9">
        <v>0</v>
      </c>
      <c r="O239" s="13">
        <v>42941</v>
      </c>
      <c r="P239" s="13">
        <v>42941</v>
      </c>
    </row>
    <row r="240" spans="1:16" ht="14.25">
      <c r="A240" s="10">
        <v>2017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2</v>
      </c>
      <c r="M240" s="8">
        <v>2019</v>
      </c>
      <c r="N240" s="9">
        <v>0</v>
      </c>
      <c r="O240" s="13">
        <v>42941</v>
      </c>
      <c r="P240" s="13">
        <v>42941</v>
      </c>
    </row>
    <row r="241" spans="1:16" ht="14.25">
      <c r="A241" s="10">
        <v>2017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0</v>
      </c>
      <c r="M241" s="8">
        <v>2017</v>
      </c>
      <c r="N241" s="9">
        <v>0</v>
      </c>
      <c r="O241" s="13">
        <v>42941</v>
      </c>
      <c r="P241" s="13">
        <v>42941</v>
      </c>
    </row>
    <row r="242" spans="1:16" ht="14.25">
      <c r="A242" s="10">
        <v>2017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1</v>
      </c>
      <c r="M242" s="8">
        <v>2018</v>
      </c>
      <c r="N242" s="9">
        <v>0</v>
      </c>
      <c r="O242" s="13">
        <v>42941</v>
      </c>
      <c r="P242" s="13">
        <v>42941</v>
      </c>
    </row>
    <row r="243" spans="1:16" ht="14.25">
      <c r="A243" s="10">
        <v>2017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8</v>
      </c>
      <c r="M243" s="8">
        <v>2025</v>
      </c>
      <c r="N243" s="9">
        <v>0</v>
      </c>
      <c r="O243" s="13">
        <v>42941</v>
      </c>
      <c r="P243" s="13">
        <v>42941</v>
      </c>
    </row>
    <row r="244" spans="1:16" ht="14.25">
      <c r="A244" s="10">
        <v>2017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4</v>
      </c>
      <c r="M244" s="8">
        <v>2021</v>
      </c>
      <c r="N244" s="9">
        <v>0</v>
      </c>
      <c r="O244" s="13">
        <v>42941</v>
      </c>
      <c r="P244" s="13">
        <v>42941</v>
      </c>
    </row>
    <row r="245" spans="1:16" ht="14.25">
      <c r="A245" s="10">
        <v>2017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6</v>
      </c>
      <c r="M245" s="8">
        <v>2023</v>
      </c>
      <c r="N245" s="9">
        <v>0</v>
      </c>
      <c r="O245" s="13">
        <v>42941</v>
      </c>
      <c r="P245" s="13">
        <v>42941</v>
      </c>
    </row>
    <row r="246" spans="1:16" ht="14.25">
      <c r="A246" s="10">
        <v>2017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3</v>
      </c>
      <c r="M246" s="8">
        <v>2020</v>
      </c>
      <c r="N246" s="9">
        <v>0</v>
      </c>
      <c r="O246" s="13">
        <v>42941</v>
      </c>
      <c r="P246" s="13">
        <v>42941</v>
      </c>
    </row>
    <row r="247" spans="1:16" ht="14.25">
      <c r="A247" s="10">
        <v>2017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1</v>
      </c>
      <c r="M247" s="8">
        <v>2018</v>
      </c>
      <c r="N247" s="9">
        <v>0</v>
      </c>
      <c r="O247" s="13">
        <v>42941</v>
      </c>
      <c r="P247" s="13">
        <v>42941</v>
      </c>
    </row>
    <row r="248" spans="1:16" ht="14.25">
      <c r="A248" s="10">
        <v>2017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8</v>
      </c>
      <c r="M248" s="8">
        <v>2025</v>
      </c>
      <c r="N248" s="9">
        <v>0</v>
      </c>
      <c r="O248" s="13">
        <v>42941</v>
      </c>
      <c r="P248" s="13">
        <v>42941</v>
      </c>
    </row>
    <row r="249" spans="1:16" ht="14.25">
      <c r="A249" s="10">
        <v>2017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9</v>
      </c>
      <c r="M249" s="8">
        <v>2026</v>
      </c>
      <c r="N249" s="9">
        <v>0</v>
      </c>
      <c r="O249" s="13">
        <v>42941</v>
      </c>
      <c r="P249" s="13">
        <v>42941</v>
      </c>
    </row>
    <row r="250" spans="1:16" ht="14.25">
      <c r="A250" s="10">
        <v>2017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7</v>
      </c>
      <c r="M250" s="8">
        <v>2024</v>
      </c>
      <c r="N250" s="9">
        <v>0</v>
      </c>
      <c r="O250" s="13">
        <v>42941</v>
      </c>
      <c r="P250" s="13">
        <v>42941</v>
      </c>
    </row>
    <row r="251" spans="1:16" ht="14.25">
      <c r="A251" s="10">
        <v>2017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2</v>
      </c>
      <c r="M251" s="8">
        <v>2019</v>
      </c>
      <c r="N251" s="9">
        <v>0</v>
      </c>
      <c r="O251" s="13">
        <v>42941</v>
      </c>
      <c r="P251" s="13">
        <v>42941</v>
      </c>
    </row>
    <row r="252" spans="1:16" ht="14.25">
      <c r="A252" s="10">
        <v>2017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5</v>
      </c>
      <c r="M252" s="8">
        <v>2022</v>
      </c>
      <c r="N252" s="9">
        <v>0</v>
      </c>
      <c r="O252" s="13">
        <v>42941</v>
      </c>
      <c r="P252" s="13">
        <v>42941</v>
      </c>
    </row>
    <row r="253" spans="1:16" ht="14.25">
      <c r="A253" s="10">
        <v>2017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0</v>
      </c>
      <c r="M253" s="8">
        <v>2017</v>
      </c>
      <c r="N253" s="9">
        <v>0</v>
      </c>
      <c r="O253" s="13">
        <v>42941</v>
      </c>
      <c r="P253" s="13">
        <v>42941</v>
      </c>
    </row>
    <row r="254" spans="1:16" ht="14.25">
      <c r="A254" s="10">
        <v>2017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4</v>
      </c>
      <c r="M254" s="8">
        <v>2021</v>
      </c>
      <c r="N254" s="9">
        <v>0</v>
      </c>
      <c r="O254" s="13">
        <v>42941</v>
      </c>
      <c r="P254" s="13">
        <v>42941</v>
      </c>
    </row>
    <row r="255" spans="1:16" ht="14.25">
      <c r="A255" s="10">
        <v>2017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3</v>
      </c>
      <c r="M255" s="8">
        <v>2020</v>
      </c>
      <c r="N255" s="9">
        <v>0</v>
      </c>
      <c r="O255" s="13">
        <v>42941</v>
      </c>
      <c r="P255" s="13">
        <v>42941</v>
      </c>
    </row>
    <row r="256" spans="1:16" ht="14.25">
      <c r="A256" s="10">
        <v>2017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5</v>
      </c>
      <c r="M256" s="8">
        <v>2022</v>
      </c>
      <c r="N256" s="9">
        <v>0</v>
      </c>
      <c r="O256" s="13">
        <v>42941</v>
      </c>
      <c r="P256" s="13">
        <v>42941</v>
      </c>
    </row>
    <row r="257" spans="1:16" ht="14.25">
      <c r="A257" s="10">
        <v>2017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7</v>
      </c>
      <c r="M257" s="8">
        <v>2024</v>
      </c>
      <c r="N257" s="9">
        <v>0</v>
      </c>
      <c r="O257" s="13">
        <v>42941</v>
      </c>
      <c r="P257" s="13">
        <v>42941</v>
      </c>
    </row>
    <row r="258" spans="1:16" ht="14.25">
      <c r="A258" s="10">
        <v>2017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1</v>
      </c>
      <c r="M258" s="8">
        <v>2018</v>
      </c>
      <c r="N258" s="9">
        <v>0</v>
      </c>
      <c r="O258" s="13">
        <v>42941</v>
      </c>
      <c r="P258" s="13">
        <v>42941</v>
      </c>
    </row>
    <row r="259" spans="1:16" ht="14.25">
      <c r="A259" s="10">
        <v>2017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0</v>
      </c>
      <c r="M259" s="8">
        <v>2017</v>
      </c>
      <c r="N259" s="9">
        <v>950000</v>
      </c>
      <c r="O259" s="13">
        <v>42941</v>
      </c>
      <c r="P259" s="13">
        <v>42941</v>
      </c>
    </row>
    <row r="260" spans="1:16" ht="14.25">
      <c r="A260" s="10">
        <v>2017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9</v>
      </c>
      <c r="M260" s="8">
        <v>2026</v>
      </c>
      <c r="N260" s="9">
        <v>0</v>
      </c>
      <c r="O260" s="13">
        <v>42941</v>
      </c>
      <c r="P260" s="13">
        <v>42941</v>
      </c>
    </row>
    <row r="261" spans="1:16" ht="14.25">
      <c r="A261" s="10">
        <v>2017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6</v>
      </c>
      <c r="M261" s="8">
        <v>2023</v>
      </c>
      <c r="N261" s="9">
        <v>0</v>
      </c>
      <c r="O261" s="13">
        <v>42941</v>
      </c>
      <c r="P261" s="13">
        <v>42941</v>
      </c>
    </row>
    <row r="262" spans="1:16" ht="14.25">
      <c r="A262" s="10">
        <v>2017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2</v>
      </c>
      <c r="M262" s="8">
        <v>2019</v>
      </c>
      <c r="N262" s="9">
        <v>0</v>
      </c>
      <c r="O262" s="13">
        <v>42941</v>
      </c>
      <c r="P262" s="13">
        <v>42941</v>
      </c>
    </row>
    <row r="263" spans="1:16" ht="14.25">
      <c r="A263" s="10">
        <v>2017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8</v>
      </c>
      <c r="M263" s="8">
        <v>2025</v>
      </c>
      <c r="N263" s="9">
        <v>0</v>
      </c>
      <c r="O263" s="13">
        <v>42941</v>
      </c>
      <c r="P263" s="13">
        <v>42941</v>
      </c>
    </row>
    <row r="264" spans="1:16" ht="14.25">
      <c r="A264" s="10">
        <v>2017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2</v>
      </c>
      <c r="M264" s="8">
        <v>2019</v>
      </c>
      <c r="N264" s="9">
        <v>0</v>
      </c>
      <c r="O264" s="13">
        <v>42941</v>
      </c>
      <c r="P264" s="13">
        <v>42941</v>
      </c>
    </row>
    <row r="265" spans="1:16" ht="14.25">
      <c r="A265" s="10">
        <v>2017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7</v>
      </c>
      <c r="M265" s="8">
        <v>2024</v>
      </c>
      <c r="N265" s="9">
        <v>0</v>
      </c>
      <c r="O265" s="13">
        <v>42941</v>
      </c>
      <c r="P265" s="13">
        <v>42941</v>
      </c>
    </row>
    <row r="266" spans="1:16" ht="14.25">
      <c r="A266" s="10">
        <v>2017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4</v>
      </c>
      <c r="M266" s="8">
        <v>2021</v>
      </c>
      <c r="N266" s="9">
        <v>0</v>
      </c>
      <c r="O266" s="13">
        <v>42941</v>
      </c>
      <c r="P266" s="13">
        <v>42941</v>
      </c>
    </row>
    <row r="267" spans="1:16" ht="14.25">
      <c r="A267" s="10">
        <v>2017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8</v>
      </c>
      <c r="M267" s="8">
        <v>2025</v>
      </c>
      <c r="N267" s="9">
        <v>0</v>
      </c>
      <c r="O267" s="13">
        <v>42941</v>
      </c>
      <c r="P267" s="13">
        <v>42941</v>
      </c>
    </row>
    <row r="268" spans="1:16" ht="14.25">
      <c r="A268" s="10">
        <v>2017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1</v>
      </c>
      <c r="M268" s="8">
        <v>2018</v>
      </c>
      <c r="N268" s="9">
        <v>0</v>
      </c>
      <c r="O268" s="13">
        <v>42941</v>
      </c>
      <c r="P268" s="13">
        <v>42941</v>
      </c>
    </row>
    <row r="269" spans="1:16" ht="14.25">
      <c r="A269" s="10">
        <v>2017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6</v>
      </c>
      <c r="M269" s="8">
        <v>2023</v>
      </c>
      <c r="N269" s="9">
        <v>0</v>
      </c>
      <c r="O269" s="13">
        <v>42941</v>
      </c>
      <c r="P269" s="13">
        <v>42941</v>
      </c>
    </row>
    <row r="270" spans="1:16" ht="14.25">
      <c r="A270" s="10">
        <v>2017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3</v>
      </c>
      <c r="M270" s="8">
        <v>2020</v>
      </c>
      <c r="N270" s="9">
        <v>0</v>
      </c>
      <c r="O270" s="13">
        <v>42941</v>
      </c>
      <c r="P270" s="13">
        <v>42941</v>
      </c>
    </row>
    <row r="271" spans="1:16" ht="14.25">
      <c r="A271" s="10">
        <v>2017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0</v>
      </c>
      <c r="M271" s="8">
        <v>2017</v>
      </c>
      <c r="N271" s="9">
        <v>0</v>
      </c>
      <c r="O271" s="13">
        <v>42941</v>
      </c>
      <c r="P271" s="13">
        <v>42941</v>
      </c>
    </row>
    <row r="272" spans="1:16" ht="14.25">
      <c r="A272" s="10">
        <v>2017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9</v>
      </c>
      <c r="M272" s="8">
        <v>2026</v>
      </c>
      <c r="N272" s="9">
        <v>0</v>
      </c>
      <c r="O272" s="13">
        <v>42941</v>
      </c>
      <c r="P272" s="13">
        <v>42941</v>
      </c>
    </row>
    <row r="273" spans="1:16" ht="14.25">
      <c r="A273" s="10">
        <v>2017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5</v>
      </c>
      <c r="M273" s="8">
        <v>2022</v>
      </c>
      <c r="N273" s="9">
        <v>0</v>
      </c>
      <c r="O273" s="13">
        <v>42941</v>
      </c>
      <c r="P273" s="13">
        <v>42941</v>
      </c>
    </row>
    <row r="274" spans="1:16" ht="14.25">
      <c r="A274" s="10">
        <v>2017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4</v>
      </c>
      <c r="M274" s="8">
        <v>2021</v>
      </c>
      <c r="N274" s="9">
        <v>537000</v>
      </c>
      <c r="O274" s="13">
        <v>42941</v>
      </c>
      <c r="P274" s="13">
        <v>42941</v>
      </c>
    </row>
    <row r="275" spans="1:16" ht="14.25">
      <c r="A275" s="10">
        <v>2017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6</v>
      </c>
      <c r="M275" s="8">
        <v>2023</v>
      </c>
      <c r="N275" s="9">
        <v>700000</v>
      </c>
      <c r="O275" s="13">
        <v>42941</v>
      </c>
      <c r="P275" s="13">
        <v>42941</v>
      </c>
    </row>
    <row r="276" spans="1:16" ht="14.25">
      <c r="A276" s="10">
        <v>2017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2</v>
      </c>
      <c r="M276" s="8">
        <v>2019</v>
      </c>
      <c r="N276" s="9">
        <v>2896023</v>
      </c>
      <c r="O276" s="13">
        <v>42941</v>
      </c>
      <c r="P276" s="13">
        <v>42941</v>
      </c>
    </row>
    <row r="277" spans="1:16" ht="14.25">
      <c r="A277" s="10">
        <v>2017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5</v>
      </c>
      <c r="M277" s="8">
        <v>2022</v>
      </c>
      <c r="N277" s="9">
        <v>500000</v>
      </c>
      <c r="O277" s="13">
        <v>42941</v>
      </c>
      <c r="P277" s="13">
        <v>42941</v>
      </c>
    </row>
    <row r="278" spans="1:16" ht="14.25">
      <c r="A278" s="10">
        <v>2017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1</v>
      </c>
      <c r="M278" s="8">
        <v>2018</v>
      </c>
      <c r="N278" s="9">
        <v>0</v>
      </c>
      <c r="O278" s="13">
        <v>42941</v>
      </c>
      <c r="P278" s="13">
        <v>42941</v>
      </c>
    </row>
    <row r="279" spans="1:16" ht="14.25">
      <c r="A279" s="10">
        <v>2017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3</v>
      </c>
      <c r="M279" s="8">
        <v>2020</v>
      </c>
      <c r="N279" s="9">
        <v>556076</v>
      </c>
      <c r="O279" s="13">
        <v>42941</v>
      </c>
      <c r="P279" s="13">
        <v>42941</v>
      </c>
    </row>
    <row r="280" spans="1:16" ht="14.25">
      <c r="A280" s="10">
        <v>2017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7</v>
      </c>
      <c r="M280" s="8">
        <v>2024</v>
      </c>
      <c r="N280" s="9">
        <v>700000</v>
      </c>
      <c r="O280" s="13">
        <v>42941</v>
      </c>
      <c r="P280" s="13">
        <v>42941</v>
      </c>
    </row>
    <row r="281" spans="1:16" ht="14.25">
      <c r="A281" s="10">
        <v>2017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8</v>
      </c>
      <c r="M281" s="8">
        <v>2025</v>
      </c>
      <c r="N281" s="9">
        <v>556457</v>
      </c>
      <c r="O281" s="13">
        <v>42941</v>
      </c>
      <c r="P281" s="13">
        <v>42941</v>
      </c>
    </row>
    <row r="282" spans="1:16" ht="14.25">
      <c r="A282" s="10">
        <v>2017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0</v>
      </c>
      <c r="M282" s="8">
        <v>2017</v>
      </c>
      <c r="N282" s="9">
        <v>0</v>
      </c>
      <c r="O282" s="13">
        <v>42941</v>
      </c>
      <c r="P282" s="13">
        <v>42941</v>
      </c>
    </row>
    <row r="283" spans="1:16" ht="14.25">
      <c r="A283" s="10">
        <v>2017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9</v>
      </c>
      <c r="M283" s="8">
        <v>2026</v>
      </c>
      <c r="N283" s="9">
        <v>0</v>
      </c>
      <c r="O283" s="13">
        <v>42941</v>
      </c>
      <c r="P283" s="13">
        <v>42941</v>
      </c>
    </row>
    <row r="284" spans="1:16" ht="14.25">
      <c r="A284" s="10">
        <v>2017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3</v>
      </c>
      <c r="M284" s="8">
        <v>2020</v>
      </c>
      <c r="N284" s="9">
        <v>0</v>
      </c>
      <c r="O284" s="13">
        <v>42941</v>
      </c>
      <c r="P284" s="13">
        <v>42941</v>
      </c>
    </row>
    <row r="285" spans="1:16" ht="14.25">
      <c r="A285" s="10">
        <v>2017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7</v>
      </c>
      <c r="M285" s="8">
        <v>2024</v>
      </c>
      <c r="N285" s="9">
        <v>0</v>
      </c>
      <c r="O285" s="13">
        <v>42941</v>
      </c>
      <c r="P285" s="13">
        <v>42941</v>
      </c>
    </row>
    <row r="286" spans="1:16" ht="14.25">
      <c r="A286" s="10">
        <v>2017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2</v>
      </c>
      <c r="M286" s="8">
        <v>2019</v>
      </c>
      <c r="N286" s="9">
        <v>0</v>
      </c>
      <c r="O286" s="13">
        <v>42941</v>
      </c>
      <c r="P286" s="13">
        <v>42941</v>
      </c>
    </row>
    <row r="287" spans="1:16" ht="14.25">
      <c r="A287" s="10">
        <v>2017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5</v>
      </c>
      <c r="M287" s="8">
        <v>2022</v>
      </c>
      <c r="N287" s="9">
        <v>0</v>
      </c>
      <c r="O287" s="13">
        <v>42941</v>
      </c>
      <c r="P287" s="13">
        <v>42941</v>
      </c>
    </row>
    <row r="288" spans="1:16" ht="14.25">
      <c r="A288" s="10">
        <v>2017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6</v>
      </c>
      <c r="M288" s="8">
        <v>2023</v>
      </c>
      <c r="N288" s="9">
        <v>0</v>
      </c>
      <c r="O288" s="13">
        <v>42941</v>
      </c>
      <c r="P288" s="13">
        <v>42941</v>
      </c>
    </row>
    <row r="289" spans="1:16" ht="14.25">
      <c r="A289" s="10">
        <v>2017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9</v>
      </c>
      <c r="M289" s="8">
        <v>2026</v>
      </c>
      <c r="N289" s="9">
        <v>0</v>
      </c>
      <c r="O289" s="13">
        <v>42941</v>
      </c>
      <c r="P289" s="13">
        <v>42941</v>
      </c>
    </row>
    <row r="290" spans="1:16" ht="14.25">
      <c r="A290" s="10">
        <v>2017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8</v>
      </c>
      <c r="M290" s="8">
        <v>2025</v>
      </c>
      <c r="N290" s="9">
        <v>0</v>
      </c>
      <c r="O290" s="13">
        <v>42941</v>
      </c>
      <c r="P290" s="13">
        <v>42941</v>
      </c>
    </row>
    <row r="291" spans="1:16" ht="14.25">
      <c r="A291" s="10">
        <v>2017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1</v>
      </c>
      <c r="M291" s="8">
        <v>2018</v>
      </c>
      <c r="N291" s="9">
        <v>0</v>
      </c>
      <c r="O291" s="13">
        <v>42941</v>
      </c>
      <c r="P291" s="13">
        <v>42941</v>
      </c>
    </row>
    <row r="292" spans="1:16" ht="14.25">
      <c r="A292" s="10">
        <v>2017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4</v>
      </c>
      <c r="M292" s="8">
        <v>2021</v>
      </c>
      <c r="N292" s="9">
        <v>0</v>
      </c>
      <c r="O292" s="13">
        <v>42941</v>
      </c>
      <c r="P292" s="13">
        <v>42941</v>
      </c>
    </row>
    <row r="293" spans="1:16" ht="14.25">
      <c r="A293" s="10">
        <v>2017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0</v>
      </c>
      <c r="M293" s="8">
        <v>2017</v>
      </c>
      <c r="N293" s="9">
        <v>125696.02</v>
      </c>
      <c r="O293" s="13">
        <v>42941</v>
      </c>
      <c r="P293" s="13">
        <v>42941</v>
      </c>
    </row>
    <row r="294" spans="1:16" ht="14.25">
      <c r="A294" s="10">
        <v>2017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3</v>
      </c>
      <c r="M294" s="8">
        <v>2020</v>
      </c>
      <c r="N294" s="9">
        <v>0</v>
      </c>
      <c r="O294" s="13">
        <v>42941</v>
      </c>
      <c r="P294" s="13">
        <v>42941</v>
      </c>
    </row>
    <row r="295" spans="1:16" ht="14.25">
      <c r="A295" s="10">
        <v>2017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9</v>
      </c>
      <c r="M295" s="8">
        <v>2026</v>
      </c>
      <c r="N295" s="9">
        <v>0</v>
      </c>
      <c r="O295" s="13">
        <v>42941</v>
      </c>
      <c r="P295" s="13">
        <v>42941</v>
      </c>
    </row>
    <row r="296" spans="1:16" ht="14.25">
      <c r="A296" s="10">
        <v>2017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8</v>
      </c>
      <c r="M296" s="8">
        <v>2025</v>
      </c>
      <c r="N296" s="9">
        <v>0</v>
      </c>
      <c r="O296" s="13">
        <v>42941</v>
      </c>
      <c r="P296" s="13">
        <v>42941</v>
      </c>
    </row>
    <row r="297" spans="1:16" ht="14.25">
      <c r="A297" s="10">
        <v>2017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2</v>
      </c>
      <c r="M297" s="8">
        <v>2019</v>
      </c>
      <c r="N297" s="9">
        <v>0</v>
      </c>
      <c r="O297" s="13">
        <v>42941</v>
      </c>
      <c r="P297" s="13">
        <v>42941</v>
      </c>
    </row>
    <row r="298" spans="1:16" ht="14.25">
      <c r="A298" s="10">
        <v>2017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7</v>
      </c>
      <c r="M298" s="8">
        <v>2024</v>
      </c>
      <c r="N298" s="9">
        <v>0</v>
      </c>
      <c r="O298" s="13">
        <v>42941</v>
      </c>
      <c r="P298" s="13">
        <v>42941</v>
      </c>
    </row>
    <row r="299" spans="1:16" ht="14.25">
      <c r="A299" s="10">
        <v>2017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5</v>
      </c>
      <c r="M299" s="8">
        <v>2022</v>
      </c>
      <c r="N299" s="9">
        <v>0</v>
      </c>
      <c r="O299" s="13">
        <v>42941</v>
      </c>
      <c r="P299" s="13">
        <v>42941</v>
      </c>
    </row>
    <row r="300" spans="1:16" ht="14.25">
      <c r="A300" s="10">
        <v>2017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0</v>
      </c>
      <c r="M300" s="8">
        <v>2017</v>
      </c>
      <c r="N300" s="9">
        <v>0</v>
      </c>
      <c r="O300" s="13">
        <v>42941</v>
      </c>
      <c r="P300" s="13">
        <v>42941</v>
      </c>
    </row>
    <row r="301" spans="1:16" ht="14.25">
      <c r="A301" s="10">
        <v>2017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4</v>
      </c>
      <c r="M301" s="8">
        <v>2021</v>
      </c>
      <c r="N301" s="9">
        <v>0</v>
      </c>
      <c r="O301" s="13">
        <v>42941</v>
      </c>
      <c r="P301" s="13">
        <v>42941</v>
      </c>
    </row>
    <row r="302" spans="1:16" ht="14.25">
      <c r="A302" s="10">
        <v>2017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1</v>
      </c>
      <c r="M302" s="8">
        <v>2018</v>
      </c>
      <c r="N302" s="9">
        <v>0</v>
      </c>
      <c r="O302" s="13">
        <v>42941</v>
      </c>
      <c r="P302" s="13">
        <v>42941</v>
      </c>
    </row>
    <row r="303" spans="1:16" ht="14.25">
      <c r="A303" s="10">
        <v>2017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6</v>
      </c>
      <c r="M303" s="8">
        <v>2023</v>
      </c>
      <c r="N303" s="9">
        <v>0</v>
      </c>
      <c r="O303" s="13">
        <v>42941</v>
      </c>
      <c r="P303" s="13">
        <v>42941</v>
      </c>
    </row>
    <row r="304" spans="1:16" ht="14.25">
      <c r="A304" s="10">
        <v>2017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7</v>
      </c>
      <c r="M304" s="8">
        <v>2024</v>
      </c>
      <c r="N304" s="9">
        <v>0</v>
      </c>
      <c r="O304" s="13">
        <v>42941</v>
      </c>
      <c r="P304" s="13">
        <v>42941</v>
      </c>
    </row>
    <row r="305" spans="1:16" ht="14.25">
      <c r="A305" s="10">
        <v>2017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4</v>
      </c>
      <c r="M305" s="8">
        <v>2021</v>
      </c>
      <c r="N305" s="9">
        <v>0</v>
      </c>
      <c r="O305" s="13">
        <v>42941</v>
      </c>
      <c r="P305" s="13">
        <v>42941</v>
      </c>
    </row>
    <row r="306" spans="1:16" ht="14.25">
      <c r="A306" s="10">
        <v>2017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0</v>
      </c>
      <c r="M306" s="8">
        <v>2017</v>
      </c>
      <c r="N306" s="9">
        <v>0</v>
      </c>
      <c r="O306" s="13">
        <v>42941</v>
      </c>
      <c r="P306" s="13">
        <v>42941</v>
      </c>
    </row>
    <row r="307" spans="1:16" ht="14.25">
      <c r="A307" s="10">
        <v>2017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2</v>
      </c>
      <c r="M307" s="8">
        <v>2019</v>
      </c>
      <c r="N307" s="9">
        <v>0</v>
      </c>
      <c r="O307" s="13">
        <v>42941</v>
      </c>
      <c r="P307" s="13">
        <v>42941</v>
      </c>
    </row>
    <row r="308" spans="1:16" ht="14.25">
      <c r="A308" s="10">
        <v>2017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9</v>
      </c>
      <c r="M308" s="8">
        <v>2026</v>
      </c>
      <c r="N308" s="9">
        <v>0</v>
      </c>
      <c r="O308" s="13">
        <v>42941</v>
      </c>
      <c r="P308" s="13">
        <v>42941</v>
      </c>
    </row>
    <row r="309" spans="1:16" ht="14.25">
      <c r="A309" s="10">
        <v>2017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6</v>
      </c>
      <c r="M309" s="8">
        <v>2023</v>
      </c>
      <c r="N309" s="9">
        <v>0</v>
      </c>
      <c r="O309" s="13">
        <v>42941</v>
      </c>
      <c r="P309" s="13">
        <v>42941</v>
      </c>
    </row>
    <row r="310" spans="1:16" ht="14.25">
      <c r="A310" s="10">
        <v>2017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5</v>
      </c>
      <c r="M310" s="8">
        <v>2022</v>
      </c>
      <c r="N310" s="9">
        <v>0</v>
      </c>
      <c r="O310" s="13">
        <v>42941</v>
      </c>
      <c r="P310" s="13">
        <v>42941</v>
      </c>
    </row>
    <row r="311" spans="1:16" ht="14.25">
      <c r="A311" s="10">
        <v>2017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8</v>
      </c>
      <c r="M311" s="8">
        <v>2025</v>
      </c>
      <c r="N311" s="9">
        <v>0</v>
      </c>
      <c r="O311" s="13">
        <v>42941</v>
      </c>
      <c r="P311" s="13">
        <v>42941</v>
      </c>
    </row>
    <row r="312" spans="1:16" ht="14.25">
      <c r="A312" s="10">
        <v>2017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1</v>
      </c>
      <c r="M312" s="8">
        <v>2018</v>
      </c>
      <c r="N312" s="9">
        <v>0</v>
      </c>
      <c r="O312" s="13">
        <v>42941</v>
      </c>
      <c r="P312" s="13">
        <v>42941</v>
      </c>
    </row>
    <row r="313" spans="1:16" ht="14.25">
      <c r="A313" s="10">
        <v>2017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3</v>
      </c>
      <c r="M313" s="8">
        <v>2020</v>
      </c>
      <c r="N313" s="9">
        <v>0</v>
      </c>
      <c r="O313" s="13">
        <v>42941</v>
      </c>
      <c r="P313" s="13">
        <v>42941</v>
      </c>
    </row>
    <row r="314" spans="1:16" ht="14.25">
      <c r="A314" s="10">
        <v>2017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6</v>
      </c>
      <c r="M314" s="8">
        <v>2023</v>
      </c>
      <c r="N314" s="9">
        <v>0</v>
      </c>
      <c r="O314" s="13">
        <v>42941</v>
      </c>
      <c r="P314" s="13">
        <v>42941</v>
      </c>
    </row>
    <row r="315" spans="1:16" ht="14.25">
      <c r="A315" s="10">
        <v>2017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9</v>
      </c>
      <c r="M315" s="8">
        <v>2026</v>
      </c>
      <c r="N315" s="9">
        <v>0</v>
      </c>
      <c r="O315" s="13">
        <v>42941</v>
      </c>
      <c r="P315" s="13">
        <v>42941</v>
      </c>
    </row>
    <row r="316" spans="1:16" ht="14.25">
      <c r="A316" s="10">
        <v>2017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0</v>
      </c>
      <c r="M316" s="8">
        <v>2017</v>
      </c>
      <c r="N316" s="9">
        <v>0</v>
      </c>
      <c r="O316" s="13">
        <v>42941</v>
      </c>
      <c r="P316" s="13">
        <v>42941</v>
      </c>
    </row>
    <row r="317" spans="1:16" ht="14.25">
      <c r="A317" s="10">
        <v>2017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7</v>
      </c>
      <c r="M317" s="8">
        <v>2024</v>
      </c>
      <c r="N317" s="9">
        <v>0</v>
      </c>
      <c r="O317" s="13">
        <v>42941</v>
      </c>
      <c r="P317" s="13">
        <v>42941</v>
      </c>
    </row>
    <row r="318" spans="1:16" ht="14.25">
      <c r="A318" s="10">
        <v>2017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5</v>
      </c>
      <c r="M318" s="8">
        <v>2022</v>
      </c>
      <c r="N318" s="9">
        <v>0</v>
      </c>
      <c r="O318" s="13">
        <v>42941</v>
      </c>
      <c r="P318" s="13">
        <v>42941</v>
      </c>
    </row>
    <row r="319" spans="1:16" ht="14.25">
      <c r="A319" s="10">
        <v>2017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4</v>
      </c>
      <c r="M319" s="8">
        <v>2021</v>
      </c>
      <c r="N319" s="9">
        <v>0</v>
      </c>
      <c r="O319" s="13">
        <v>42941</v>
      </c>
      <c r="P319" s="13">
        <v>42941</v>
      </c>
    </row>
    <row r="320" spans="1:16" ht="14.25">
      <c r="A320" s="10">
        <v>2017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3</v>
      </c>
      <c r="M320" s="8">
        <v>2020</v>
      </c>
      <c r="N320" s="9">
        <v>0</v>
      </c>
      <c r="O320" s="13">
        <v>42941</v>
      </c>
      <c r="P320" s="13">
        <v>42941</v>
      </c>
    </row>
    <row r="321" spans="1:16" ht="14.25">
      <c r="A321" s="10">
        <v>2017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2</v>
      </c>
      <c r="M321" s="8">
        <v>2019</v>
      </c>
      <c r="N321" s="9">
        <v>0</v>
      </c>
      <c r="O321" s="13">
        <v>42941</v>
      </c>
      <c r="P321" s="13">
        <v>42941</v>
      </c>
    </row>
    <row r="322" spans="1:16" ht="14.25">
      <c r="A322" s="10">
        <v>2017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1</v>
      </c>
      <c r="M322" s="8">
        <v>2018</v>
      </c>
      <c r="N322" s="9">
        <v>0</v>
      </c>
      <c r="O322" s="13">
        <v>42941</v>
      </c>
      <c r="P322" s="13">
        <v>42941</v>
      </c>
    </row>
    <row r="323" spans="1:16" ht="14.25">
      <c r="A323" s="10">
        <v>2017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8</v>
      </c>
      <c r="M323" s="8">
        <v>2025</v>
      </c>
      <c r="N323" s="9">
        <v>0</v>
      </c>
      <c r="O323" s="13">
        <v>42941</v>
      </c>
      <c r="P323" s="13">
        <v>42941</v>
      </c>
    </row>
    <row r="324" spans="1:16" ht="14.25">
      <c r="A324" s="10">
        <v>2017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3</v>
      </c>
      <c r="M324" s="8">
        <v>2020</v>
      </c>
      <c r="N324" s="9">
        <v>0</v>
      </c>
      <c r="O324" s="13">
        <v>42941</v>
      </c>
      <c r="P324" s="13">
        <v>42941</v>
      </c>
    </row>
    <row r="325" spans="1:16" ht="14.25">
      <c r="A325" s="10">
        <v>2017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6</v>
      </c>
      <c r="M325" s="8">
        <v>2023</v>
      </c>
      <c r="N325" s="9">
        <v>0</v>
      </c>
      <c r="O325" s="13">
        <v>42941</v>
      </c>
      <c r="P325" s="13">
        <v>42941</v>
      </c>
    </row>
    <row r="326" spans="1:16" ht="14.25">
      <c r="A326" s="10">
        <v>2017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1</v>
      </c>
      <c r="M326" s="8">
        <v>2018</v>
      </c>
      <c r="N326" s="9">
        <v>4600000</v>
      </c>
      <c r="O326" s="13">
        <v>42941</v>
      </c>
      <c r="P326" s="13">
        <v>42941</v>
      </c>
    </row>
    <row r="327" spans="1:16" ht="14.25">
      <c r="A327" s="10">
        <v>2017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5</v>
      </c>
      <c r="M327" s="8">
        <v>2022</v>
      </c>
      <c r="N327" s="9">
        <v>0</v>
      </c>
      <c r="O327" s="13">
        <v>42941</v>
      </c>
      <c r="P327" s="13">
        <v>42941</v>
      </c>
    </row>
    <row r="328" spans="1:16" ht="14.25">
      <c r="A328" s="10">
        <v>2017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7</v>
      </c>
      <c r="M328" s="8">
        <v>2024</v>
      </c>
      <c r="N328" s="9">
        <v>0</v>
      </c>
      <c r="O328" s="13">
        <v>42941</v>
      </c>
      <c r="P328" s="13">
        <v>42941</v>
      </c>
    </row>
    <row r="329" spans="1:16" ht="14.25">
      <c r="A329" s="10">
        <v>2017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4</v>
      </c>
      <c r="M329" s="8">
        <v>2021</v>
      </c>
      <c r="N329" s="9">
        <v>0</v>
      </c>
      <c r="O329" s="13">
        <v>42941</v>
      </c>
      <c r="P329" s="13">
        <v>42941</v>
      </c>
    </row>
    <row r="330" spans="1:16" ht="14.25">
      <c r="A330" s="10">
        <v>2017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8</v>
      </c>
      <c r="M330" s="8">
        <v>2025</v>
      </c>
      <c r="N330" s="9">
        <v>0</v>
      </c>
      <c r="O330" s="13">
        <v>42941</v>
      </c>
      <c r="P330" s="13">
        <v>42941</v>
      </c>
    </row>
    <row r="331" spans="1:16" ht="14.25">
      <c r="A331" s="10">
        <v>2017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2</v>
      </c>
      <c r="M331" s="8">
        <v>2019</v>
      </c>
      <c r="N331" s="9">
        <v>0</v>
      </c>
      <c r="O331" s="13">
        <v>42941</v>
      </c>
      <c r="P331" s="13">
        <v>42941</v>
      </c>
    </row>
    <row r="332" spans="1:16" ht="14.25">
      <c r="A332" s="10">
        <v>2017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0</v>
      </c>
      <c r="M332" s="8">
        <v>2017</v>
      </c>
      <c r="N332" s="9">
        <v>4950000</v>
      </c>
      <c r="O332" s="13">
        <v>42941</v>
      </c>
      <c r="P332" s="13">
        <v>42941</v>
      </c>
    </row>
    <row r="333" spans="1:16" ht="14.25">
      <c r="A333" s="10">
        <v>2017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9</v>
      </c>
      <c r="M333" s="8">
        <v>2026</v>
      </c>
      <c r="N333" s="9">
        <v>0</v>
      </c>
      <c r="O333" s="13">
        <v>42941</v>
      </c>
      <c r="P333" s="13">
        <v>42941</v>
      </c>
    </row>
    <row r="334" spans="1:16" ht="14.25">
      <c r="A334" s="10">
        <v>2017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3</v>
      </c>
      <c r="M334" s="8">
        <v>2020</v>
      </c>
      <c r="N334" s="9">
        <v>0</v>
      </c>
      <c r="O334" s="13">
        <v>42941</v>
      </c>
      <c r="P334" s="13">
        <v>42941</v>
      </c>
    </row>
    <row r="335" spans="1:16" ht="14.25">
      <c r="A335" s="10">
        <v>2017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7</v>
      </c>
      <c r="M335" s="8">
        <v>2024</v>
      </c>
      <c r="N335" s="9">
        <v>0</v>
      </c>
      <c r="O335" s="13">
        <v>42941</v>
      </c>
      <c r="P335" s="13">
        <v>42941</v>
      </c>
    </row>
    <row r="336" spans="1:16" ht="14.25">
      <c r="A336" s="10">
        <v>2017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5</v>
      </c>
      <c r="M336" s="8">
        <v>2022</v>
      </c>
      <c r="N336" s="9">
        <v>0</v>
      </c>
      <c r="O336" s="13">
        <v>42941</v>
      </c>
      <c r="P336" s="13">
        <v>42941</v>
      </c>
    </row>
    <row r="337" spans="1:16" ht="14.25">
      <c r="A337" s="10">
        <v>2017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8</v>
      </c>
      <c r="M337" s="8">
        <v>2025</v>
      </c>
      <c r="N337" s="9">
        <v>0</v>
      </c>
      <c r="O337" s="13">
        <v>42941</v>
      </c>
      <c r="P337" s="13">
        <v>42941</v>
      </c>
    </row>
    <row r="338" spans="1:16" ht="14.25">
      <c r="A338" s="10">
        <v>2017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9</v>
      </c>
      <c r="M338" s="8">
        <v>2026</v>
      </c>
      <c r="N338" s="9">
        <v>0</v>
      </c>
      <c r="O338" s="13">
        <v>42941</v>
      </c>
      <c r="P338" s="13">
        <v>42941</v>
      </c>
    </row>
    <row r="339" spans="1:16" ht="14.25">
      <c r="A339" s="10">
        <v>2017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1</v>
      </c>
      <c r="M339" s="8">
        <v>2018</v>
      </c>
      <c r="N339" s="9">
        <v>0</v>
      </c>
      <c r="O339" s="13">
        <v>42941</v>
      </c>
      <c r="P339" s="13">
        <v>42941</v>
      </c>
    </row>
    <row r="340" spans="1:16" ht="14.25">
      <c r="A340" s="10">
        <v>2017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2</v>
      </c>
      <c r="M340" s="8">
        <v>2019</v>
      </c>
      <c r="N340" s="9">
        <v>0</v>
      </c>
      <c r="O340" s="13">
        <v>42941</v>
      </c>
      <c r="P340" s="13">
        <v>42941</v>
      </c>
    </row>
    <row r="341" spans="1:16" ht="14.25">
      <c r="A341" s="10">
        <v>2017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4</v>
      </c>
      <c r="M341" s="8">
        <v>2021</v>
      </c>
      <c r="N341" s="9">
        <v>0</v>
      </c>
      <c r="O341" s="13">
        <v>42941</v>
      </c>
      <c r="P341" s="13">
        <v>42941</v>
      </c>
    </row>
    <row r="342" spans="1:16" ht="14.25">
      <c r="A342" s="10">
        <v>2017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0</v>
      </c>
      <c r="M342" s="8">
        <v>2017</v>
      </c>
      <c r="N342" s="9">
        <v>0</v>
      </c>
      <c r="O342" s="13">
        <v>42941</v>
      </c>
      <c r="P342" s="13">
        <v>42941</v>
      </c>
    </row>
    <row r="343" spans="1:16" ht="14.25">
      <c r="A343" s="10">
        <v>2017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6</v>
      </c>
      <c r="M343" s="8">
        <v>2023</v>
      </c>
      <c r="N343" s="9">
        <v>0</v>
      </c>
      <c r="O343" s="13">
        <v>42941</v>
      </c>
      <c r="P343" s="13">
        <v>42941</v>
      </c>
    </row>
    <row r="344" spans="1:16" ht="14.25">
      <c r="A344" s="10">
        <v>2017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84</v>
      </c>
      <c r="K344" s="12" t="b">
        <v>0</v>
      </c>
      <c r="L344" s="12">
        <v>9</v>
      </c>
      <c r="M344" s="8">
        <v>2026</v>
      </c>
      <c r="N344" s="9">
        <v>13700000</v>
      </c>
      <c r="O344" s="13">
        <v>42941</v>
      </c>
      <c r="P344" s="13">
        <v>42941</v>
      </c>
    </row>
    <row r="345" spans="1:16" ht="14.25">
      <c r="A345" s="10">
        <v>2017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6</v>
      </c>
      <c r="M345" s="8">
        <v>2023</v>
      </c>
      <c r="N345" s="9">
        <v>13700000</v>
      </c>
      <c r="O345" s="13">
        <v>42941</v>
      </c>
      <c r="P345" s="13">
        <v>42941</v>
      </c>
    </row>
    <row r="346" spans="1:16" ht="14.25">
      <c r="A346" s="10">
        <v>2017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1</v>
      </c>
      <c r="M346" s="8">
        <v>2018</v>
      </c>
      <c r="N346" s="9">
        <v>13200000</v>
      </c>
      <c r="O346" s="13">
        <v>42941</v>
      </c>
      <c r="P346" s="13">
        <v>42941</v>
      </c>
    </row>
    <row r="347" spans="1:16" ht="14.25">
      <c r="A347" s="10">
        <v>2017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3</v>
      </c>
      <c r="M347" s="8">
        <v>2020</v>
      </c>
      <c r="N347" s="9">
        <v>13400000</v>
      </c>
      <c r="O347" s="13">
        <v>42941</v>
      </c>
      <c r="P347" s="13">
        <v>42941</v>
      </c>
    </row>
    <row r="348" spans="1:16" ht="14.25">
      <c r="A348" s="10">
        <v>2017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8</v>
      </c>
      <c r="M348" s="8">
        <v>2025</v>
      </c>
      <c r="N348" s="9">
        <v>13700000</v>
      </c>
      <c r="O348" s="13">
        <v>42941</v>
      </c>
      <c r="P348" s="13">
        <v>42941</v>
      </c>
    </row>
    <row r="349" spans="1:16" ht="14.25">
      <c r="A349" s="10">
        <v>2017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7</v>
      </c>
      <c r="M349" s="8">
        <v>2024</v>
      </c>
      <c r="N349" s="9">
        <v>13700000</v>
      </c>
      <c r="O349" s="13">
        <v>42941</v>
      </c>
      <c r="P349" s="13">
        <v>42941</v>
      </c>
    </row>
    <row r="350" spans="1:16" ht="14.25">
      <c r="A350" s="10">
        <v>2017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5</v>
      </c>
      <c r="M350" s="8">
        <v>2022</v>
      </c>
      <c r="N350" s="9">
        <v>13600000</v>
      </c>
      <c r="O350" s="13">
        <v>42941</v>
      </c>
      <c r="P350" s="13">
        <v>42941</v>
      </c>
    </row>
    <row r="351" spans="1:16" ht="14.25">
      <c r="A351" s="10">
        <v>2017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0</v>
      </c>
      <c r="M351" s="8">
        <v>2017</v>
      </c>
      <c r="N351" s="9">
        <v>13314225.92</v>
      </c>
      <c r="O351" s="13">
        <v>42941</v>
      </c>
      <c r="P351" s="13">
        <v>42941</v>
      </c>
    </row>
    <row r="352" spans="1:16" ht="14.25">
      <c r="A352" s="10">
        <v>2017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2</v>
      </c>
      <c r="M352" s="8">
        <v>2019</v>
      </c>
      <c r="N352" s="9">
        <v>13300000</v>
      </c>
      <c r="O352" s="13">
        <v>42941</v>
      </c>
      <c r="P352" s="13">
        <v>42941</v>
      </c>
    </row>
    <row r="353" spans="1:16" ht="14.25">
      <c r="A353" s="10">
        <v>2017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4</v>
      </c>
      <c r="M353" s="8">
        <v>2021</v>
      </c>
      <c r="N353" s="9">
        <v>13500000</v>
      </c>
      <c r="O353" s="13">
        <v>42941</v>
      </c>
      <c r="P353" s="13">
        <v>42941</v>
      </c>
    </row>
    <row r="354" spans="1:16" ht="14.25">
      <c r="A354" s="10">
        <v>2017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9</v>
      </c>
      <c r="M354" s="8">
        <v>2026</v>
      </c>
      <c r="N354" s="9">
        <v>0</v>
      </c>
      <c r="O354" s="13">
        <v>42941</v>
      </c>
      <c r="P354" s="13">
        <v>42941</v>
      </c>
    </row>
    <row r="355" spans="1:16" ht="14.25">
      <c r="A355" s="10">
        <v>2017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0</v>
      </c>
      <c r="M355" s="8">
        <v>2017</v>
      </c>
      <c r="N355" s="9">
        <v>0.0158</v>
      </c>
      <c r="O355" s="13">
        <v>42941</v>
      </c>
      <c r="P355" s="13">
        <v>42941</v>
      </c>
    </row>
    <row r="356" spans="1:16" ht="14.25">
      <c r="A356" s="10">
        <v>2017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500</v>
      </c>
      <c r="H356" s="12">
        <v>9.4</v>
      </c>
      <c r="I356" s="12" t="s">
        <v>364</v>
      </c>
      <c r="J356" s="12" t="s">
        <v>365</v>
      </c>
      <c r="K356" s="12" t="b">
        <v>0</v>
      </c>
      <c r="L356" s="12">
        <v>1</v>
      </c>
      <c r="M356" s="8">
        <v>2018</v>
      </c>
      <c r="N356" s="9">
        <v>0.0205</v>
      </c>
      <c r="O356" s="13">
        <v>42941</v>
      </c>
      <c r="P356" s="13">
        <v>42941</v>
      </c>
    </row>
    <row r="357" spans="1:16" ht="14.25">
      <c r="A357" s="10">
        <v>2017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500</v>
      </c>
      <c r="H357" s="12">
        <v>9.4</v>
      </c>
      <c r="I357" s="12" t="s">
        <v>364</v>
      </c>
      <c r="J357" s="12" t="s">
        <v>365</v>
      </c>
      <c r="K357" s="12" t="b">
        <v>0</v>
      </c>
      <c r="L357" s="12">
        <v>3</v>
      </c>
      <c r="M357" s="8">
        <v>2020</v>
      </c>
      <c r="N357" s="9">
        <v>0.0263</v>
      </c>
      <c r="O357" s="13">
        <v>42941</v>
      </c>
      <c r="P357" s="13">
        <v>42941</v>
      </c>
    </row>
    <row r="358" spans="1:16" ht="14.25">
      <c r="A358" s="10">
        <v>2017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5</v>
      </c>
      <c r="M358" s="8">
        <v>2022</v>
      </c>
      <c r="N358" s="9">
        <v>0.0208</v>
      </c>
      <c r="O358" s="13">
        <v>42941</v>
      </c>
      <c r="P358" s="13">
        <v>42941</v>
      </c>
    </row>
    <row r="359" spans="1:16" ht="14.25">
      <c r="A359" s="10">
        <v>2017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6</v>
      </c>
      <c r="M359" s="8">
        <v>2023</v>
      </c>
      <c r="N359" s="9">
        <v>0.0238</v>
      </c>
      <c r="O359" s="13">
        <v>42941</v>
      </c>
      <c r="P359" s="13">
        <v>42941</v>
      </c>
    </row>
    <row r="360" spans="1:16" ht="14.25">
      <c r="A360" s="10">
        <v>2017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7</v>
      </c>
      <c r="M360" s="8">
        <v>2024</v>
      </c>
      <c r="N360" s="9">
        <v>0.0225</v>
      </c>
      <c r="O360" s="13">
        <v>42941</v>
      </c>
      <c r="P360" s="13">
        <v>42941</v>
      </c>
    </row>
    <row r="361" spans="1:16" ht="14.25">
      <c r="A361" s="10">
        <v>2017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950</v>
      </c>
      <c r="H361" s="12">
        <v>15</v>
      </c>
      <c r="I361" s="12"/>
      <c r="J361" s="12" t="s">
        <v>391</v>
      </c>
      <c r="K361" s="12" t="b">
        <v>1</v>
      </c>
      <c r="L361" s="12">
        <v>3</v>
      </c>
      <c r="M361" s="8">
        <v>2020</v>
      </c>
      <c r="N361" s="9">
        <v>0</v>
      </c>
      <c r="O361" s="13">
        <v>42941</v>
      </c>
      <c r="P361" s="13">
        <v>42941</v>
      </c>
    </row>
    <row r="362" spans="1:16" ht="14.25">
      <c r="A362" s="10">
        <v>2017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890</v>
      </c>
      <c r="H362" s="12">
        <v>14.2</v>
      </c>
      <c r="I362" s="12"/>
      <c r="J362" s="12" t="s">
        <v>124</v>
      </c>
      <c r="K362" s="12" t="b">
        <v>1</v>
      </c>
      <c r="L362" s="12">
        <v>5</v>
      </c>
      <c r="M362" s="8">
        <v>2022</v>
      </c>
      <c r="N362" s="9">
        <v>0</v>
      </c>
      <c r="O362" s="13">
        <v>42941</v>
      </c>
      <c r="P362" s="13">
        <v>42941</v>
      </c>
    </row>
    <row r="363" spans="1:16" ht="14.25">
      <c r="A363" s="10">
        <v>2017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890</v>
      </c>
      <c r="H363" s="12">
        <v>14.2</v>
      </c>
      <c r="I363" s="12"/>
      <c r="J363" s="12" t="s">
        <v>124</v>
      </c>
      <c r="K363" s="12" t="b">
        <v>1</v>
      </c>
      <c r="L363" s="12">
        <v>4</v>
      </c>
      <c r="M363" s="8">
        <v>2021</v>
      </c>
      <c r="N363" s="9">
        <v>0</v>
      </c>
      <c r="O363" s="13">
        <v>42941</v>
      </c>
      <c r="P363" s="13">
        <v>42941</v>
      </c>
    </row>
    <row r="364" spans="1:16" ht="14.25">
      <c r="A364" s="10">
        <v>2017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500</v>
      </c>
      <c r="H364" s="12">
        <v>9.4</v>
      </c>
      <c r="I364" s="12" t="s">
        <v>364</v>
      </c>
      <c r="J364" s="12" t="s">
        <v>365</v>
      </c>
      <c r="K364" s="12" t="b">
        <v>0</v>
      </c>
      <c r="L364" s="12">
        <v>4</v>
      </c>
      <c r="M364" s="8">
        <v>2021</v>
      </c>
      <c r="N364" s="9">
        <v>0.0234</v>
      </c>
      <c r="O364" s="13">
        <v>42941</v>
      </c>
      <c r="P364" s="13">
        <v>42941</v>
      </c>
    </row>
    <row r="365" spans="1:16" ht="14.25">
      <c r="A365" s="10">
        <v>2017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500</v>
      </c>
      <c r="H365" s="12">
        <v>9.4</v>
      </c>
      <c r="I365" s="12" t="s">
        <v>364</v>
      </c>
      <c r="J365" s="12" t="s">
        <v>365</v>
      </c>
      <c r="K365" s="12" t="b">
        <v>0</v>
      </c>
      <c r="L365" s="12">
        <v>8</v>
      </c>
      <c r="M365" s="8">
        <v>2025</v>
      </c>
      <c r="N365" s="9">
        <v>0.0169</v>
      </c>
      <c r="O365" s="13">
        <v>42941</v>
      </c>
      <c r="P365" s="13">
        <v>42941</v>
      </c>
    </row>
    <row r="366" spans="1:16" ht="14.25">
      <c r="A366" s="10">
        <v>2017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500</v>
      </c>
      <c r="H366" s="12">
        <v>9.4</v>
      </c>
      <c r="I366" s="12" t="s">
        <v>364</v>
      </c>
      <c r="J366" s="12" t="s">
        <v>365</v>
      </c>
      <c r="K366" s="12" t="b">
        <v>0</v>
      </c>
      <c r="L366" s="12">
        <v>2</v>
      </c>
      <c r="M366" s="8">
        <v>2019</v>
      </c>
      <c r="N366" s="9">
        <v>0.0243</v>
      </c>
      <c r="O366" s="13">
        <v>42941</v>
      </c>
      <c r="P366" s="13">
        <v>42941</v>
      </c>
    </row>
    <row r="367" spans="1:16" ht="14.25">
      <c r="A367" s="10">
        <v>2017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508</v>
      </c>
      <c r="H367" s="12">
        <v>9.5</v>
      </c>
      <c r="I367" s="12" t="s">
        <v>366</v>
      </c>
      <c r="J367" s="12" t="s">
        <v>367</v>
      </c>
      <c r="K367" s="12" t="b">
        <v>0</v>
      </c>
      <c r="L367" s="12">
        <v>2</v>
      </c>
      <c r="M367" s="8">
        <v>2019</v>
      </c>
      <c r="N367" s="9">
        <v>0.0428</v>
      </c>
      <c r="O367" s="13">
        <v>42941</v>
      </c>
      <c r="P367" s="13">
        <v>42941</v>
      </c>
    </row>
    <row r="368" spans="1:16" ht="14.25">
      <c r="A368" s="10">
        <v>2017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8</v>
      </c>
      <c r="M368" s="8">
        <v>2025</v>
      </c>
      <c r="N368" s="9">
        <v>0.0411</v>
      </c>
      <c r="O368" s="13">
        <v>42941</v>
      </c>
      <c r="P368" s="13">
        <v>42941</v>
      </c>
    </row>
    <row r="369" spans="1:16" ht="14.25">
      <c r="A369" s="10">
        <v>2017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6</v>
      </c>
      <c r="M369" s="8">
        <v>2023</v>
      </c>
      <c r="N369" s="9">
        <v>0.0411</v>
      </c>
      <c r="O369" s="13">
        <v>42941</v>
      </c>
      <c r="P369" s="13">
        <v>42941</v>
      </c>
    </row>
    <row r="370" spans="1:16" ht="14.25">
      <c r="A370" s="10">
        <v>2017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3</v>
      </c>
      <c r="M370" s="8">
        <v>2020</v>
      </c>
      <c r="N370" s="9">
        <v>0.0459</v>
      </c>
      <c r="O370" s="13">
        <v>42941</v>
      </c>
      <c r="P370" s="13">
        <v>42941</v>
      </c>
    </row>
    <row r="371" spans="1:16" ht="14.25">
      <c r="A371" s="10">
        <v>2017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5</v>
      </c>
      <c r="M371" s="8">
        <v>2022</v>
      </c>
      <c r="N371" s="9">
        <v>0.0439</v>
      </c>
      <c r="O371" s="13">
        <v>42941</v>
      </c>
      <c r="P371" s="13">
        <v>42941</v>
      </c>
    </row>
    <row r="372" spans="1:16" ht="14.25">
      <c r="A372" s="10">
        <v>2017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4</v>
      </c>
      <c r="M372" s="8">
        <v>2021</v>
      </c>
      <c r="N372" s="9">
        <v>0.0463</v>
      </c>
      <c r="O372" s="13">
        <v>42941</v>
      </c>
      <c r="P372" s="13">
        <v>42941</v>
      </c>
    </row>
    <row r="373" spans="1:16" ht="14.25">
      <c r="A373" s="10">
        <v>2017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7</v>
      </c>
      <c r="M373" s="8">
        <v>2024</v>
      </c>
      <c r="N373" s="9">
        <v>0.0411</v>
      </c>
      <c r="O373" s="13">
        <v>42941</v>
      </c>
      <c r="P373" s="13">
        <v>42941</v>
      </c>
    </row>
    <row r="374" spans="1:16" ht="14.25">
      <c r="A374" s="10">
        <v>2017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508</v>
      </c>
      <c r="H374" s="12">
        <v>9.5</v>
      </c>
      <c r="I374" s="12" t="s">
        <v>366</v>
      </c>
      <c r="J374" s="12" t="s">
        <v>367</v>
      </c>
      <c r="K374" s="12" t="b">
        <v>0</v>
      </c>
      <c r="L374" s="12">
        <v>1</v>
      </c>
      <c r="M374" s="8">
        <v>2018</v>
      </c>
      <c r="N374" s="9">
        <v>0.0454</v>
      </c>
      <c r="O374" s="13">
        <v>42941</v>
      </c>
      <c r="P374" s="13">
        <v>42941</v>
      </c>
    </row>
    <row r="375" spans="1:16" ht="14.25">
      <c r="A375" s="10">
        <v>2017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508</v>
      </c>
      <c r="H375" s="12">
        <v>9.5</v>
      </c>
      <c r="I375" s="12" t="s">
        <v>366</v>
      </c>
      <c r="J375" s="12" t="s">
        <v>367</v>
      </c>
      <c r="K375" s="12" t="b">
        <v>0</v>
      </c>
      <c r="L375" s="12">
        <v>0</v>
      </c>
      <c r="M375" s="8">
        <v>2017</v>
      </c>
      <c r="N375" s="9">
        <v>0.0606</v>
      </c>
      <c r="O375" s="13">
        <v>42941</v>
      </c>
      <c r="P375" s="13">
        <v>42941</v>
      </c>
    </row>
    <row r="376" spans="1:16" ht="14.25">
      <c r="A376" s="10">
        <v>2017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508</v>
      </c>
      <c r="H376" s="12">
        <v>9.5</v>
      </c>
      <c r="I376" s="12" t="s">
        <v>366</v>
      </c>
      <c r="J376" s="12" t="s">
        <v>367</v>
      </c>
      <c r="K376" s="12" t="b">
        <v>0</v>
      </c>
      <c r="L376" s="12">
        <v>9</v>
      </c>
      <c r="M376" s="8">
        <v>2026</v>
      </c>
      <c r="N376" s="9">
        <v>0.0385</v>
      </c>
      <c r="O376" s="13">
        <v>42941</v>
      </c>
      <c r="P376" s="13">
        <v>42941</v>
      </c>
    </row>
    <row r="377" spans="1:16" ht="14.25">
      <c r="A377" s="10">
        <v>2017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7</v>
      </c>
      <c r="M377" s="8">
        <v>2024</v>
      </c>
      <c r="N377" s="9">
        <v>4242000</v>
      </c>
      <c r="O377" s="13">
        <v>42941</v>
      </c>
      <c r="P377" s="13">
        <v>42941</v>
      </c>
    </row>
    <row r="378" spans="1:16" ht="14.25">
      <c r="A378" s="10">
        <v>2017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3</v>
      </c>
      <c r="M378" s="8">
        <v>2020</v>
      </c>
      <c r="N378" s="9">
        <v>4200000</v>
      </c>
      <c r="O378" s="13">
        <v>42941</v>
      </c>
      <c r="P378" s="13">
        <v>42941</v>
      </c>
    </row>
    <row r="379" spans="1:16" ht="14.25">
      <c r="A379" s="10">
        <v>2017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6</v>
      </c>
      <c r="M379" s="8">
        <v>2023</v>
      </c>
      <c r="N379" s="9">
        <v>4242000</v>
      </c>
      <c r="O379" s="13">
        <v>42941</v>
      </c>
      <c r="P379" s="13">
        <v>42941</v>
      </c>
    </row>
    <row r="380" spans="1:16" ht="14.25">
      <c r="A380" s="10">
        <v>2017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1</v>
      </c>
      <c r="M380" s="8">
        <v>2018</v>
      </c>
      <c r="N380" s="9">
        <v>4100000</v>
      </c>
      <c r="O380" s="13">
        <v>42941</v>
      </c>
      <c r="P380" s="13">
        <v>42941</v>
      </c>
    </row>
    <row r="381" spans="1:16" ht="14.25">
      <c r="A381" s="10">
        <v>2017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8</v>
      </c>
      <c r="M381" s="8">
        <v>2025</v>
      </c>
      <c r="N381" s="9">
        <v>4242000</v>
      </c>
      <c r="O381" s="13">
        <v>42941</v>
      </c>
      <c r="P381" s="13">
        <v>42941</v>
      </c>
    </row>
    <row r="382" spans="1:16" ht="14.25">
      <c r="A382" s="10">
        <v>2017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2</v>
      </c>
      <c r="M382" s="8">
        <v>2019</v>
      </c>
      <c r="N382" s="9">
        <v>4150000</v>
      </c>
      <c r="O382" s="13">
        <v>42941</v>
      </c>
      <c r="P382" s="13">
        <v>42941</v>
      </c>
    </row>
    <row r="383" spans="1:16" ht="14.25">
      <c r="A383" s="10">
        <v>2017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4</v>
      </c>
      <c r="M383" s="8">
        <v>2021</v>
      </c>
      <c r="N383" s="9">
        <v>4242000</v>
      </c>
      <c r="O383" s="13">
        <v>42941</v>
      </c>
      <c r="P383" s="13">
        <v>42941</v>
      </c>
    </row>
    <row r="384" spans="1:16" ht="14.25">
      <c r="A384" s="10">
        <v>2017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50</v>
      </c>
      <c r="H384" s="12" t="s">
        <v>41</v>
      </c>
      <c r="I384" s="12"/>
      <c r="J384" s="12" t="s">
        <v>42</v>
      </c>
      <c r="K384" s="12" t="b">
        <v>1</v>
      </c>
      <c r="L384" s="12">
        <v>0</v>
      </c>
      <c r="M384" s="8">
        <v>2017</v>
      </c>
      <c r="N384" s="9">
        <v>4065945.21</v>
      </c>
      <c r="O384" s="13">
        <v>42941</v>
      </c>
      <c r="P384" s="13">
        <v>42941</v>
      </c>
    </row>
    <row r="385" spans="1:16" ht="14.25">
      <c r="A385" s="10">
        <v>2017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50</v>
      </c>
      <c r="H385" s="12" t="s">
        <v>41</v>
      </c>
      <c r="I385" s="12"/>
      <c r="J385" s="12" t="s">
        <v>42</v>
      </c>
      <c r="K385" s="12" t="b">
        <v>1</v>
      </c>
      <c r="L385" s="12">
        <v>5</v>
      </c>
      <c r="M385" s="8">
        <v>2022</v>
      </c>
      <c r="N385" s="9">
        <v>4242000</v>
      </c>
      <c r="O385" s="13">
        <v>42941</v>
      </c>
      <c r="P385" s="13">
        <v>42941</v>
      </c>
    </row>
    <row r="386" spans="1:16" ht="14.25">
      <c r="A386" s="10">
        <v>2017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50</v>
      </c>
      <c r="H386" s="12" t="s">
        <v>41</v>
      </c>
      <c r="I386" s="12"/>
      <c r="J386" s="12" t="s">
        <v>42</v>
      </c>
      <c r="K386" s="12" t="b">
        <v>1</v>
      </c>
      <c r="L386" s="12">
        <v>9</v>
      </c>
      <c r="M386" s="8">
        <v>2026</v>
      </c>
      <c r="N386" s="9">
        <v>4242000</v>
      </c>
      <c r="O386" s="13">
        <v>42941</v>
      </c>
      <c r="P386" s="13">
        <v>42941</v>
      </c>
    </row>
    <row r="387" spans="1:16" ht="14.25">
      <c r="A387" s="10">
        <v>2017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5</v>
      </c>
      <c r="M387" s="8">
        <v>2022</v>
      </c>
      <c r="N387" s="9">
        <v>0.045</v>
      </c>
      <c r="O387" s="13">
        <v>42941</v>
      </c>
      <c r="P387" s="13">
        <v>42941</v>
      </c>
    </row>
    <row r="388" spans="1:16" ht="14.25">
      <c r="A388" s="10">
        <v>2017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7</v>
      </c>
      <c r="M388" s="8">
        <v>2024</v>
      </c>
      <c r="N388" s="9">
        <v>0.0438</v>
      </c>
      <c r="O388" s="13">
        <v>42941</v>
      </c>
      <c r="P388" s="13">
        <v>42941</v>
      </c>
    </row>
    <row r="389" spans="1:16" ht="14.25">
      <c r="A389" s="10">
        <v>2017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2</v>
      </c>
      <c r="M389" s="8">
        <v>2019</v>
      </c>
      <c r="N389" s="9">
        <v>0.0561</v>
      </c>
      <c r="O389" s="13">
        <v>42941</v>
      </c>
      <c r="P389" s="13">
        <v>42941</v>
      </c>
    </row>
    <row r="390" spans="1:16" ht="14.25">
      <c r="A390" s="10">
        <v>2017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6</v>
      </c>
      <c r="M390" s="8">
        <v>2023</v>
      </c>
      <c r="N390" s="9">
        <v>0.0454</v>
      </c>
      <c r="O390" s="13">
        <v>42941</v>
      </c>
      <c r="P390" s="13">
        <v>42941</v>
      </c>
    </row>
    <row r="391" spans="1:16" ht="14.25">
      <c r="A391" s="10">
        <v>2017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4</v>
      </c>
      <c r="M391" s="8">
        <v>2021</v>
      </c>
      <c r="N391" s="9">
        <v>0.0447</v>
      </c>
      <c r="O391" s="13">
        <v>42941</v>
      </c>
      <c r="P391" s="13">
        <v>42941</v>
      </c>
    </row>
    <row r="392" spans="1:16" ht="14.25">
      <c r="A392" s="10">
        <v>2017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3</v>
      </c>
      <c r="M392" s="8">
        <v>2020</v>
      </c>
      <c r="N392" s="9">
        <v>0.0496</v>
      </c>
      <c r="O392" s="13">
        <v>42941</v>
      </c>
      <c r="P392" s="13">
        <v>42941</v>
      </c>
    </row>
    <row r="393" spans="1:16" ht="14.25">
      <c r="A393" s="10">
        <v>2017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9</v>
      </c>
      <c r="M393" s="8">
        <v>2026</v>
      </c>
      <c r="N393" s="9">
        <v>0.0411</v>
      </c>
      <c r="O393" s="13">
        <v>42941</v>
      </c>
      <c r="P393" s="13">
        <v>42941</v>
      </c>
    </row>
    <row r="394" spans="1:16" ht="14.25">
      <c r="A394" s="10">
        <v>2017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510</v>
      </c>
      <c r="H394" s="12">
        <v>9.6</v>
      </c>
      <c r="I394" s="12"/>
      <c r="J394" s="12" t="s">
        <v>369</v>
      </c>
      <c r="K394" s="12" t="b">
        <v>1</v>
      </c>
      <c r="L394" s="12">
        <v>8</v>
      </c>
      <c r="M394" s="8">
        <v>2025</v>
      </c>
      <c r="N394" s="9">
        <v>0.042</v>
      </c>
      <c r="O394" s="13">
        <v>42941</v>
      </c>
      <c r="P394" s="13">
        <v>42941</v>
      </c>
    </row>
    <row r="395" spans="1:16" ht="14.25">
      <c r="A395" s="10">
        <v>2017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510</v>
      </c>
      <c r="H395" s="12">
        <v>9.6</v>
      </c>
      <c r="I395" s="12"/>
      <c r="J395" s="12" t="s">
        <v>369</v>
      </c>
      <c r="K395" s="12" t="b">
        <v>1</v>
      </c>
      <c r="L395" s="12">
        <v>1</v>
      </c>
      <c r="M395" s="8">
        <v>2018</v>
      </c>
      <c r="N395" s="9">
        <v>0.093</v>
      </c>
      <c r="O395" s="13">
        <v>42941</v>
      </c>
      <c r="P395" s="13">
        <v>42941</v>
      </c>
    </row>
    <row r="396" spans="1:16" ht="14.25">
      <c r="A396" s="10">
        <v>2017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510</v>
      </c>
      <c r="H396" s="12">
        <v>9.6</v>
      </c>
      <c r="I396" s="12"/>
      <c r="J396" s="12" t="s">
        <v>369</v>
      </c>
      <c r="K396" s="12" t="b">
        <v>1</v>
      </c>
      <c r="L396" s="12">
        <v>0</v>
      </c>
      <c r="M396" s="8">
        <v>2017</v>
      </c>
      <c r="N396" s="9">
        <v>0.1178</v>
      </c>
      <c r="O396" s="13">
        <v>42941</v>
      </c>
      <c r="P396" s="13">
        <v>42941</v>
      </c>
    </row>
    <row r="397" spans="1:16" ht="14.25">
      <c r="A397" s="10">
        <v>2017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9</v>
      </c>
      <c r="M397" s="8">
        <v>2026</v>
      </c>
      <c r="N397" s="9">
        <v>36458762</v>
      </c>
      <c r="O397" s="13">
        <v>42941</v>
      </c>
      <c r="P397" s="13">
        <v>42941</v>
      </c>
    </row>
    <row r="398" spans="1:16" ht="14.25">
      <c r="A398" s="10">
        <v>2017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2</v>
      </c>
      <c r="M398" s="8">
        <v>2019</v>
      </c>
      <c r="N398" s="9">
        <v>35669726</v>
      </c>
      <c r="O398" s="13">
        <v>42941</v>
      </c>
      <c r="P398" s="13">
        <v>42941</v>
      </c>
    </row>
    <row r="399" spans="1:16" ht="14.25">
      <c r="A399" s="10">
        <v>2017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1</v>
      </c>
      <c r="M399" s="8">
        <v>2018</v>
      </c>
      <c r="N399" s="9">
        <v>35246765</v>
      </c>
      <c r="O399" s="13">
        <v>42941</v>
      </c>
      <c r="P399" s="13">
        <v>42941</v>
      </c>
    </row>
    <row r="400" spans="1:16" ht="14.25">
      <c r="A400" s="10">
        <v>2017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5</v>
      </c>
      <c r="M400" s="8">
        <v>2022</v>
      </c>
      <c r="N400" s="9">
        <v>36458762</v>
      </c>
      <c r="O400" s="13">
        <v>42941</v>
      </c>
      <c r="P400" s="13">
        <v>42941</v>
      </c>
    </row>
    <row r="401" spans="1:16" ht="14.25">
      <c r="A401" s="10">
        <v>2017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0</v>
      </c>
      <c r="M401" s="8">
        <v>2017</v>
      </c>
      <c r="N401" s="9">
        <v>35444627.99</v>
      </c>
      <c r="O401" s="13">
        <v>42941</v>
      </c>
      <c r="P401" s="13">
        <v>42941</v>
      </c>
    </row>
    <row r="402" spans="1:16" ht="14.25">
      <c r="A402" s="10">
        <v>2017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3</v>
      </c>
      <c r="M402" s="8">
        <v>2020</v>
      </c>
      <c r="N402" s="9">
        <v>36097762</v>
      </c>
      <c r="O402" s="13">
        <v>42941</v>
      </c>
      <c r="P402" s="13">
        <v>42941</v>
      </c>
    </row>
    <row r="403" spans="1:16" ht="14.25">
      <c r="A403" s="10">
        <v>2017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7</v>
      </c>
      <c r="M403" s="8">
        <v>2024</v>
      </c>
      <c r="N403" s="9">
        <v>36458762</v>
      </c>
      <c r="O403" s="13">
        <v>42941</v>
      </c>
      <c r="P403" s="13">
        <v>42941</v>
      </c>
    </row>
    <row r="404" spans="1:16" ht="14.25">
      <c r="A404" s="10">
        <v>2017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20</v>
      </c>
      <c r="H404" s="12">
        <v>1.1</v>
      </c>
      <c r="I404" s="12"/>
      <c r="J404" s="12" t="s">
        <v>36</v>
      </c>
      <c r="K404" s="12" t="b">
        <v>1</v>
      </c>
      <c r="L404" s="12">
        <v>8</v>
      </c>
      <c r="M404" s="8">
        <v>2025</v>
      </c>
      <c r="N404" s="9">
        <v>36458762</v>
      </c>
      <c r="O404" s="13">
        <v>42941</v>
      </c>
      <c r="P404" s="13">
        <v>42941</v>
      </c>
    </row>
    <row r="405" spans="1:16" ht="14.25">
      <c r="A405" s="10">
        <v>2017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20</v>
      </c>
      <c r="H405" s="12">
        <v>1.1</v>
      </c>
      <c r="I405" s="12"/>
      <c r="J405" s="12" t="s">
        <v>36</v>
      </c>
      <c r="K405" s="12" t="b">
        <v>1</v>
      </c>
      <c r="L405" s="12">
        <v>4</v>
      </c>
      <c r="M405" s="8">
        <v>2021</v>
      </c>
      <c r="N405" s="9">
        <v>36458762</v>
      </c>
      <c r="O405" s="13">
        <v>42941</v>
      </c>
      <c r="P405" s="13">
        <v>42941</v>
      </c>
    </row>
    <row r="406" spans="1:16" ht="14.25">
      <c r="A406" s="10">
        <v>2017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20</v>
      </c>
      <c r="H406" s="12">
        <v>1.1</v>
      </c>
      <c r="I406" s="12"/>
      <c r="J406" s="12" t="s">
        <v>36</v>
      </c>
      <c r="K406" s="12" t="b">
        <v>1</v>
      </c>
      <c r="L406" s="12">
        <v>6</v>
      </c>
      <c r="M406" s="8">
        <v>2023</v>
      </c>
      <c r="N406" s="9">
        <v>36458762</v>
      </c>
      <c r="O406" s="13">
        <v>42941</v>
      </c>
      <c r="P406" s="13">
        <v>42941</v>
      </c>
    </row>
    <row r="407" spans="1:16" ht="14.25">
      <c r="A407" s="10">
        <v>2017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2</v>
      </c>
      <c r="M407" s="8">
        <v>2019</v>
      </c>
      <c r="N407" s="9">
        <v>0</v>
      </c>
      <c r="O407" s="13">
        <v>42941</v>
      </c>
      <c r="P407" s="13">
        <v>42941</v>
      </c>
    </row>
    <row r="408" spans="1:16" ht="14.25">
      <c r="A408" s="10">
        <v>2017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0</v>
      </c>
      <c r="M408" s="8">
        <v>2017</v>
      </c>
      <c r="N408" s="9">
        <v>5175670</v>
      </c>
      <c r="O408" s="13">
        <v>42941</v>
      </c>
      <c r="P408" s="13">
        <v>42941</v>
      </c>
    </row>
    <row r="409" spans="1:16" ht="14.25">
      <c r="A409" s="10">
        <v>2017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7</v>
      </c>
      <c r="M409" s="8">
        <v>2024</v>
      </c>
      <c r="N409" s="9">
        <v>0</v>
      </c>
      <c r="O409" s="13">
        <v>42941</v>
      </c>
      <c r="P409" s="13">
        <v>42941</v>
      </c>
    </row>
    <row r="410" spans="1:16" ht="14.25">
      <c r="A410" s="10">
        <v>2017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1</v>
      </c>
      <c r="M410" s="8">
        <v>2018</v>
      </c>
      <c r="N410" s="9">
        <v>4553833</v>
      </c>
      <c r="O410" s="13">
        <v>42941</v>
      </c>
      <c r="P410" s="13">
        <v>42941</v>
      </c>
    </row>
    <row r="411" spans="1:16" ht="14.25">
      <c r="A411" s="10">
        <v>2017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4</v>
      </c>
      <c r="M411" s="8">
        <v>2021</v>
      </c>
      <c r="N411" s="9">
        <v>0</v>
      </c>
      <c r="O411" s="13">
        <v>42941</v>
      </c>
      <c r="P411" s="13">
        <v>42941</v>
      </c>
    </row>
    <row r="412" spans="1:16" ht="14.25">
      <c r="A412" s="10">
        <v>2017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6</v>
      </c>
      <c r="M412" s="8">
        <v>2023</v>
      </c>
      <c r="N412" s="9">
        <v>0</v>
      </c>
      <c r="O412" s="13">
        <v>42941</v>
      </c>
      <c r="P412" s="13">
        <v>42941</v>
      </c>
    </row>
    <row r="413" spans="1:16" ht="14.25">
      <c r="A413" s="10">
        <v>2017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5</v>
      </c>
      <c r="M413" s="8">
        <v>2022</v>
      </c>
      <c r="N413" s="9">
        <v>0</v>
      </c>
      <c r="O413" s="13">
        <v>42941</v>
      </c>
      <c r="P413" s="13">
        <v>42941</v>
      </c>
    </row>
    <row r="414" spans="1:16" ht="14.25">
      <c r="A414" s="10">
        <v>2017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620</v>
      </c>
      <c r="H414" s="12" t="s">
        <v>88</v>
      </c>
      <c r="I414" s="12"/>
      <c r="J414" s="12" t="s">
        <v>89</v>
      </c>
      <c r="K414" s="12" t="b">
        <v>1</v>
      </c>
      <c r="L414" s="12">
        <v>9</v>
      </c>
      <c r="M414" s="8">
        <v>2026</v>
      </c>
      <c r="N414" s="9">
        <v>0</v>
      </c>
      <c r="O414" s="13">
        <v>42941</v>
      </c>
      <c r="P414" s="13">
        <v>42941</v>
      </c>
    </row>
    <row r="415" spans="1:16" ht="14.25">
      <c r="A415" s="10">
        <v>2017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620</v>
      </c>
      <c r="H415" s="12" t="s">
        <v>88</v>
      </c>
      <c r="I415" s="12"/>
      <c r="J415" s="12" t="s">
        <v>89</v>
      </c>
      <c r="K415" s="12" t="b">
        <v>1</v>
      </c>
      <c r="L415" s="12">
        <v>3</v>
      </c>
      <c r="M415" s="8">
        <v>2020</v>
      </c>
      <c r="N415" s="9">
        <v>0</v>
      </c>
      <c r="O415" s="13">
        <v>42941</v>
      </c>
      <c r="P415" s="13">
        <v>42941</v>
      </c>
    </row>
    <row r="416" spans="1:16" ht="14.25">
      <c r="A416" s="10">
        <v>2017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620</v>
      </c>
      <c r="H416" s="12" t="s">
        <v>88</v>
      </c>
      <c r="I416" s="12"/>
      <c r="J416" s="12" t="s">
        <v>89</v>
      </c>
      <c r="K416" s="12" t="b">
        <v>1</v>
      </c>
      <c r="L416" s="12">
        <v>8</v>
      </c>
      <c r="M416" s="8">
        <v>2025</v>
      </c>
      <c r="N416" s="9">
        <v>0</v>
      </c>
      <c r="O416" s="13">
        <v>42941</v>
      </c>
      <c r="P416" s="13">
        <v>42941</v>
      </c>
    </row>
    <row r="417" spans="1:16" ht="14.25">
      <c r="A417" s="10">
        <v>2017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9</v>
      </c>
      <c r="M417" s="8">
        <v>2026</v>
      </c>
      <c r="N417" s="9">
        <v>0</v>
      </c>
      <c r="O417" s="13">
        <v>42941</v>
      </c>
      <c r="P417" s="13">
        <v>42941</v>
      </c>
    </row>
    <row r="418" spans="1:16" ht="14.25">
      <c r="A418" s="10">
        <v>2017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1</v>
      </c>
      <c r="M418" s="8">
        <v>2018</v>
      </c>
      <c r="N418" s="9">
        <v>0</v>
      </c>
      <c r="O418" s="13">
        <v>42941</v>
      </c>
      <c r="P418" s="13">
        <v>42941</v>
      </c>
    </row>
    <row r="419" spans="1:16" ht="14.25">
      <c r="A419" s="10">
        <v>2017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4</v>
      </c>
      <c r="M419" s="8">
        <v>2021</v>
      </c>
      <c r="N419" s="9">
        <v>0</v>
      </c>
      <c r="O419" s="13">
        <v>42941</v>
      </c>
      <c r="P419" s="13">
        <v>42941</v>
      </c>
    </row>
    <row r="420" spans="1:16" ht="14.25">
      <c r="A420" s="10">
        <v>2017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8</v>
      </c>
      <c r="M420" s="8">
        <v>2025</v>
      </c>
      <c r="N420" s="9">
        <v>0</v>
      </c>
      <c r="O420" s="13">
        <v>42941</v>
      </c>
      <c r="P420" s="13">
        <v>42941</v>
      </c>
    </row>
    <row r="421" spans="1:16" ht="14.25">
      <c r="A421" s="10">
        <v>2017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6</v>
      </c>
      <c r="M421" s="8">
        <v>2023</v>
      </c>
      <c r="N421" s="9">
        <v>0</v>
      </c>
      <c r="O421" s="13">
        <v>42941</v>
      </c>
      <c r="P421" s="13">
        <v>42941</v>
      </c>
    </row>
    <row r="422" spans="1:16" ht="14.25">
      <c r="A422" s="10">
        <v>2017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2</v>
      </c>
      <c r="M422" s="8">
        <v>2019</v>
      </c>
      <c r="N422" s="9">
        <v>0</v>
      </c>
      <c r="O422" s="13">
        <v>42941</v>
      </c>
      <c r="P422" s="13">
        <v>42941</v>
      </c>
    </row>
    <row r="423" spans="1:16" ht="14.25">
      <c r="A423" s="10">
        <v>2017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0</v>
      </c>
      <c r="M423" s="8">
        <v>2017</v>
      </c>
      <c r="N423" s="9">
        <v>0</v>
      </c>
      <c r="O423" s="13">
        <v>42941</v>
      </c>
      <c r="P423" s="13">
        <v>42941</v>
      </c>
    </row>
    <row r="424" spans="1:16" ht="14.25">
      <c r="A424" s="10">
        <v>2017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950</v>
      </c>
      <c r="H424" s="12">
        <v>15</v>
      </c>
      <c r="I424" s="12"/>
      <c r="J424" s="12" t="s">
        <v>391</v>
      </c>
      <c r="K424" s="12" t="b">
        <v>1</v>
      </c>
      <c r="L424" s="12">
        <v>7</v>
      </c>
      <c r="M424" s="8">
        <v>2024</v>
      </c>
      <c r="N424" s="9">
        <v>0</v>
      </c>
      <c r="O424" s="13">
        <v>42941</v>
      </c>
      <c r="P424" s="13">
        <v>42941</v>
      </c>
    </row>
    <row r="425" spans="1:16" ht="14.25">
      <c r="A425" s="10">
        <v>2017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950</v>
      </c>
      <c r="H425" s="12">
        <v>15</v>
      </c>
      <c r="I425" s="12"/>
      <c r="J425" s="12" t="s">
        <v>391</v>
      </c>
      <c r="K425" s="12" t="b">
        <v>1</v>
      </c>
      <c r="L425" s="12">
        <v>5</v>
      </c>
      <c r="M425" s="8">
        <v>2022</v>
      </c>
      <c r="N425" s="9">
        <v>0</v>
      </c>
      <c r="O425" s="13">
        <v>42941</v>
      </c>
      <c r="P425" s="13">
        <v>42941</v>
      </c>
    </row>
    <row r="426" spans="1:16" ht="14.25">
      <c r="A426" s="10">
        <v>2017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0</v>
      </c>
      <c r="M426" s="8">
        <v>2017</v>
      </c>
      <c r="N426" s="9">
        <v>0.0158</v>
      </c>
      <c r="O426" s="13">
        <v>42941</v>
      </c>
      <c r="P426" s="13">
        <v>42941</v>
      </c>
    </row>
    <row r="427" spans="1:16" ht="14.25">
      <c r="A427" s="10">
        <v>2017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470</v>
      </c>
      <c r="H427" s="12">
        <v>9.1</v>
      </c>
      <c r="I427" s="12" t="s">
        <v>359</v>
      </c>
      <c r="J427" s="12" t="s">
        <v>360</v>
      </c>
      <c r="K427" s="12" t="b">
        <v>1</v>
      </c>
      <c r="L427" s="12">
        <v>3</v>
      </c>
      <c r="M427" s="8">
        <v>2020</v>
      </c>
      <c r="N427" s="9">
        <v>0.0263</v>
      </c>
      <c r="O427" s="13">
        <v>42941</v>
      </c>
      <c r="P427" s="13">
        <v>42941</v>
      </c>
    </row>
    <row r="428" spans="1:16" ht="14.25">
      <c r="A428" s="10">
        <v>2017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470</v>
      </c>
      <c r="H428" s="12">
        <v>9.1</v>
      </c>
      <c r="I428" s="12" t="s">
        <v>359</v>
      </c>
      <c r="J428" s="12" t="s">
        <v>360</v>
      </c>
      <c r="K428" s="12" t="b">
        <v>1</v>
      </c>
      <c r="L428" s="12">
        <v>8</v>
      </c>
      <c r="M428" s="8">
        <v>2025</v>
      </c>
      <c r="N428" s="9">
        <v>0.0169</v>
      </c>
      <c r="O428" s="13">
        <v>42941</v>
      </c>
      <c r="P428" s="13">
        <v>42941</v>
      </c>
    </row>
    <row r="429" spans="1:16" ht="14.25">
      <c r="A429" s="10">
        <v>2017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470</v>
      </c>
      <c r="H429" s="12">
        <v>9.1</v>
      </c>
      <c r="I429" s="12" t="s">
        <v>359</v>
      </c>
      <c r="J429" s="12" t="s">
        <v>360</v>
      </c>
      <c r="K429" s="12" t="b">
        <v>1</v>
      </c>
      <c r="L429" s="12">
        <v>1</v>
      </c>
      <c r="M429" s="8">
        <v>2018</v>
      </c>
      <c r="N429" s="9">
        <v>0.0923</v>
      </c>
      <c r="O429" s="13">
        <v>42941</v>
      </c>
      <c r="P429" s="13">
        <v>42941</v>
      </c>
    </row>
    <row r="430" spans="1:16" ht="14.25">
      <c r="A430" s="10">
        <v>2017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6</v>
      </c>
      <c r="M430" s="8">
        <v>2023</v>
      </c>
      <c r="N430" s="9">
        <v>0.0238</v>
      </c>
      <c r="O430" s="13">
        <v>42941</v>
      </c>
      <c r="P430" s="13">
        <v>42941</v>
      </c>
    </row>
    <row r="431" spans="1:16" ht="14.25">
      <c r="A431" s="10">
        <v>2017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5</v>
      </c>
      <c r="M431" s="8">
        <v>2022</v>
      </c>
      <c r="N431" s="9">
        <v>0.0208</v>
      </c>
      <c r="O431" s="13">
        <v>42941</v>
      </c>
      <c r="P431" s="13">
        <v>42941</v>
      </c>
    </row>
    <row r="432" spans="1:16" ht="14.25">
      <c r="A432" s="10">
        <v>2017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9</v>
      </c>
      <c r="M432" s="8">
        <v>2026</v>
      </c>
      <c r="N432" s="9">
        <v>0</v>
      </c>
      <c r="O432" s="13">
        <v>42941</v>
      </c>
      <c r="P432" s="13">
        <v>42941</v>
      </c>
    </row>
    <row r="433" spans="1:16" ht="14.25">
      <c r="A433" s="10">
        <v>2017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7</v>
      </c>
      <c r="M433" s="8">
        <v>2024</v>
      </c>
      <c r="N433" s="9">
        <v>0.0225</v>
      </c>
      <c r="O433" s="13">
        <v>42941</v>
      </c>
      <c r="P433" s="13">
        <v>42941</v>
      </c>
    </row>
    <row r="434" spans="1:16" ht="14.25">
      <c r="A434" s="10">
        <v>2017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470</v>
      </c>
      <c r="H434" s="12">
        <v>9.1</v>
      </c>
      <c r="I434" s="12" t="s">
        <v>359</v>
      </c>
      <c r="J434" s="12" t="s">
        <v>360</v>
      </c>
      <c r="K434" s="12" t="b">
        <v>1</v>
      </c>
      <c r="L434" s="12">
        <v>4</v>
      </c>
      <c r="M434" s="8">
        <v>2021</v>
      </c>
      <c r="N434" s="9">
        <v>0.0234</v>
      </c>
      <c r="O434" s="13">
        <v>42941</v>
      </c>
      <c r="P434" s="13">
        <v>42941</v>
      </c>
    </row>
    <row r="435" spans="1:16" ht="14.25">
      <c r="A435" s="10">
        <v>2017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470</v>
      </c>
      <c r="H435" s="12">
        <v>9.1</v>
      </c>
      <c r="I435" s="12" t="s">
        <v>359</v>
      </c>
      <c r="J435" s="12" t="s">
        <v>360</v>
      </c>
      <c r="K435" s="12" t="b">
        <v>1</v>
      </c>
      <c r="L435" s="12">
        <v>2</v>
      </c>
      <c r="M435" s="8">
        <v>2019</v>
      </c>
      <c r="N435" s="9">
        <v>0.0876</v>
      </c>
      <c r="O435" s="13">
        <v>42941</v>
      </c>
      <c r="P435" s="13">
        <v>42941</v>
      </c>
    </row>
    <row r="436" spans="1:16" ht="14.25">
      <c r="A436" s="10">
        <v>2017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890</v>
      </c>
      <c r="H436" s="12">
        <v>14.2</v>
      </c>
      <c r="I436" s="12"/>
      <c r="J436" s="12" t="s">
        <v>124</v>
      </c>
      <c r="K436" s="12" t="b">
        <v>1</v>
      </c>
      <c r="L436" s="12">
        <v>7</v>
      </c>
      <c r="M436" s="8">
        <v>2024</v>
      </c>
      <c r="N436" s="9">
        <v>0</v>
      </c>
      <c r="O436" s="13">
        <v>42941</v>
      </c>
      <c r="P436" s="13">
        <v>42941</v>
      </c>
    </row>
    <row r="437" spans="1:16" ht="14.25">
      <c r="A437" s="10">
        <v>2017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0</v>
      </c>
      <c r="M437" s="8">
        <v>2017</v>
      </c>
      <c r="N437" s="9">
        <v>0</v>
      </c>
      <c r="O437" s="13">
        <v>42941</v>
      </c>
      <c r="P437" s="13">
        <v>42941</v>
      </c>
    </row>
    <row r="438" spans="1:16" ht="14.25">
      <c r="A438" s="10">
        <v>2017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9</v>
      </c>
      <c r="M438" s="8">
        <v>2026</v>
      </c>
      <c r="N438" s="9">
        <v>0</v>
      </c>
      <c r="O438" s="13">
        <v>42941</v>
      </c>
      <c r="P438" s="13">
        <v>42941</v>
      </c>
    </row>
    <row r="439" spans="1:16" ht="14.25">
      <c r="A439" s="10">
        <v>2017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1</v>
      </c>
      <c r="M439" s="8">
        <v>2018</v>
      </c>
      <c r="N439" s="9">
        <v>0</v>
      </c>
      <c r="O439" s="13">
        <v>42941</v>
      </c>
      <c r="P439" s="13">
        <v>42941</v>
      </c>
    </row>
    <row r="440" spans="1:16" ht="14.25">
      <c r="A440" s="10">
        <v>2017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2</v>
      </c>
      <c r="M440" s="8">
        <v>2019</v>
      </c>
      <c r="N440" s="9">
        <v>0</v>
      </c>
      <c r="O440" s="13">
        <v>42941</v>
      </c>
      <c r="P440" s="13">
        <v>42941</v>
      </c>
    </row>
    <row r="441" spans="1:16" ht="14.25">
      <c r="A441" s="10">
        <v>2017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6</v>
      </c>
      <c r="M441" s="8">
        <v>2023</v>
      </c>
      <c r="N441" s="9">
        <v>0</v>
      </c>
      <c r="O441" s="13">
        <v>42941</v>
      </c>
      <c r="P441" s="13">
        <v>42941</v>
      </c>
    </row>
    <row r="442" spans="1:16" ht="14.25">
      <c r="A442" s="10">
        <v>2017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3</v>
      </c>
      <c r="M442" s="8">
        <v>2020</v>
      </c>
      <c r="N442" s="9">
        <v>0</v>
      </c>
      <c r="O442" s="13">
        <v>42941</v>
      </c>
      <c r="P442" s="13">
        <v>42941</v>
      </c>
    </row>
    <row r="443" spans="1:16" ht="14.25">
      <c r="A443" s="10">
        <v>2017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8</v>
      </c>
      <c r="M443" s="8">
        <v>2025</v>
      </c>
      <c r="N443" s="9">
        <v>0</v>
      </c>
      <c r="O443" s="13">
        <v>42941</v>
      </c>
      <c r="P443" s="13">
        <v>42941</v>
      </c>
    </row>
    <row r="444" spans="1:16" ht="14.25">
      <c r="A444" s="10">
        <v>2017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300</v>
      </c>
      <c r="H444" s="12">
        <v>5</v>
      </c>
      <c r="I444" s="12" t="s">
        <v>348</v>
      </c>
      <c r="J444" s="12" t="s">
        <v>72</v>
      </c>
      <c r="K444" s="12" t="b">
        <v>0</v>
      </c>
      <c r="L444" s="12">
        <v>9</v>
      </c>
      <c r="M444" s="8">
        <v>2026</v>
      </c>
      <c r="N444" s="9">
        <v>0</v>
      </c>
      <c r="O444" s="13">
        <v>42941</v>
      </c>
      <c r="P444" s="13">
        <v>42941</v>
      </c>
    </row>
    <row r="445" spans="1:16" ht="14.25">
      <c r="A445" s="10">
        <v>2017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300</v>
      </c>
      <c r="H445" s="12">
        <v>5</v>
      </c>
      <c r="I445" s="12" t="s">
        <v>348</v>
      </c>
      <c r="J445" s="12" t="s">
        <v>72</v>
      </c>
      <c r="K445" s="12" t="b">
        <v>0</v>
      </c>
      <c r="L445" s="12">
        <v>2</v>
      </c>
      <c r="M445" s="8">
        <v>2019</v>
      </c>
      <c r="N445" s="9">
        <v>2896023</v>
      </c>
      <c r="O445" s="13">
        <v>42941</v>
      </c>
      <c r="P445" s="13">
        <v>42941</v>
      </c>
    </row>
    <row r="446" spans="1:16" ht="14.25">
      <c r="A446" s="10">
        <v>2017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5</v>
      </c>
      <c r="M446" s="8">
        <v>2022</v>
      </c>
      <c r="N446" s="9">
        <v>500000</v>
      </c>
      <c r="O446" s="13">
        <v>42941</v>
      </c>
      <c r="P446" s="13">
        <v>42941</v>
      </c>
    </row>
    <row r="447" spans="1:16" ht="14.25">
      <c r="A447" s="10">
        <v>2017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4</v>
      </c>
      <c r="M447" s="8">
        <v>2021</v>
      </c>
      <c r="N447" s="9">
        <v>537000</v>
      </c>
      <c r="O447" s="13">
        <v>42941</v>
      </c>
      <c r="P447" s="13">
        <v>42941</v>
      </c>
    </row>
    <row r="448" spans="1:16" ht="14.25">
      <c r="A448" s="10">
        <v>2017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1</v>
      </c>
      <c r="M448" s="8">
        <v>2018</v>
      </c>
      <c r="N448" s="9">
        <v>3056753</v>
      </c>
      <c r="O448" s="13">
        <v>42941</v>
      </c>
      <c r="P448" s="13">
        <v>42941</v>
      </c>
    </row>
    <row r="449" spans="1:16" ht="14.25">
      <c r="A449" s="10">
        <v>2017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7</v>
      </c>
      <c r="M449" s="8">
        <v>2024</v>
      </c>
      <c r="N449" s="9">
        <v>700000</v>
      </c>
      <c r="O449" s="13">
        <v>42941</v>
      </c>
      <c r="P449" s="13">
        <v>42941</v>
      </c>
    </row>
    <row r="450" spans="1:16" ht="14.25">
      <c r="A450" s="10">
        <v>2017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0</v>
      </c>
      <c r="M450" s="8">
        <v>2017</v>
      </c>
      <c r="N450" s="9">
        <v>588527.28</v>
      </c>
      <c r="O450" s="13">
        <v>42941</v>
      </c>
      <c r="P450" s="13">
        <v>42941</v>
      </c>
    </row>
    <row r="451" spans="1:16" ht="14.25">
      <c r="A451" s="10">
        <v>2017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6</v>
      </c>
      <c r="M451" s="8">
        <v>2023</v>
      </c>
      <c r="N451" s="9">
        <v>700000</v>
      </c>
      <c r="O451" s="13">
        <v>42941</v>
      </c>
      <c r="P451" s="13">
        <v>42941</v>
      </c>
    </row>
    <row r="452" spans="1:16" ht="14.25">
      <c r="A452" s="10">
        <v>2017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3</v>
      </c>
      <c r="M452" s="8">
        <v>2020</v>
      </c>
      <c r="N452" s="9">
        <v>556076</v>
      </c>
      <c r="O452" s="13">
        <v>42941</v>
      </c>
      <c r="P452" s="13">
        <v>42941</v>
      </c>
    </row>
    <row r="453" spans="1:16" ht="14.25">
      <c r="A453" s="10">
        <v>2017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8</v>
      </c>
      <c r="M453" s="8">
        <v>2025</v>
      </c>
      <c r="N453" s="9">
        <v>556457</v>
      </c>
      <c r="O453" s="13">
        <v>42941</v>
      </c>
      <c r="P453" s="13">
        <v>42941</v>
      </c>
    </row>
    <row r="454" spans="1:16" ht="14.25">
      <c r="A454" s="10">
        <v>2017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3</v>
      </c>
      <c r="M454" s="8">
        <v>2020</v>
      </c>
      <c r="N454" s="9">
        <v>0</v>
      </c>
      <c r="O454" s="13">
        <v>42941</v>
      </c>
      <c r="P454" s="13">
        <v>42941</v>
      </c>
    </row>
    <row r="455" spans="1:16" ht="14.25">
      <c r="A455" s="10">
        <v>2017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8</v>
      </c>
      <c r="M455" s="8">
        <v>2025</v>
      </c>
      <c r="N455" s="9">
        <v>0</v>
      </c>
      <c r="O455" s="13">
        <v>42941</v>
      </c>
      <c r="P455" s="13">
        <v>42941</v>
      </c>
    </row>
    <row r="456" spans="1:16" ht="14.25">
      <c r="A456" s="10">
        <v>2017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6</v>
      </c>
      <c r="M456" s="8">
        <v>2023</v>
      </c>
      <c r="N456" s="9">
        <v>0</v>
      </c>
      <c r="O456" s="13">
        <v>42941</v>
      </c>
      <c r="P456" s="13">
        <v>42941</v>
      </c>
    </row>
    <row r="457" spans="1:16" ht="14.25">
      <c r="A457" s="10">
        <v>2017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2021</v>
      </c>
      <c r="N457" s="9">
        <v>0</v>
      </c>
      <c r="O457" s="13">
        <v>42941</v>
      </c>
      <c r="P457" s="13">
        <v>42941</v>
      </c>
    </row>
    <row r="458" spans="1:16" ht="14.25">
      <c r="A458" s="10">
        <v>2017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9</v>
      </c>
      <c r="M458" s="8">
        <v>2026</v>
      </c>
      <c r="N458" s="9">
        <v>0</v>
      </c>
      <c r="O458" s="13">
        <v>42941</v>
      </c>
      <c r="P458" s="13">
        <v>42941</v>
      </c>
    </row>
    <row r="459" spans="1:16" ht="14.25">
      <c r="A459" s="10">
        <v>2017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5</v>
      </c>
      <c r="M459" s="8">
        <v>2022</v>
      </c>
      <c r="N459" s="9">
        <v>0</v>
      </c>
      <c r="O459" s="13">
        <v>42941</v>
      </c>
      <c r="P459" s="13">
        <v>42941</v>
      </c>
    </row>
    <row r="460" spans="1:16" ht="14.25">
      <c r="A460" s="10">
        <v>2017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1</v>
      </c>
      <c r="M460" s="8">
        <v>2018</v>
      </c>
      <c r="N460" s="9">
        <v>0</v>
      </c>
      <c r="O460" s="13">
        <v>42941</v>
      </c>
      <c r="P460" s="13">
        <v>42941</v>
      </c>
    </row>
    <row r="461" spans="1:16" ht="14.25">
      <c r="A461" s="10">
        <v>2017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2</v>
      </c>
      <c r="M461" s="8">
        <v>2019</v>
      </c>
      <c r="N461" s="9">
        <v>0</v>
      </c>
      <c r="O461" s="13">
        <v>42941</v>
      </c>
      <c r="P461" s="13">
        <v>42941</v>
      </c>
    </row>
    <row r="462" spans="1:16" ht="14.25">
      <c r="A462" s="10">
        <v>2017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0</v>
      </c>
      <c r="M462" s="8">
        <v>2017</v>
      </c>
      <c r="N462" s="9">
        <v>0</v>
      </c>
      <c r="O462" s="13">
        <v>42941</v>
      </c>
      <c r="P462" s="13">
        <v>42941</v>
      </c>
    </row>
    <row r="463" spans="1:16" ht="14.25">
      <c r="A463" s="10">
        <v>2017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7</v>
      </c>
      <c r="M463" s="8">
        <v>2024</v>
      </c>
      <c r="N463" s="9">
        <v>0</v>
      </c>
      <c r="O463" s="13">
        <v>42941</v>
      </c>
      <c r="P463" s="13">
        <v>42941</v>
      </c>
    </row>
    <row r="464" spans="1:16" ht="14.25">
      <c r="A464" s="10">
        <v>2017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7</v>
      </c>
      <c r="M464" s="8">
        <v>2024</v>
      </c>
      <c r="N464" s="9">
        <v>0</v>
      </c>
      <c r="O464" s="13">
        <v>42941</v>
      </c>
      <c r="P464" s="13">
        <v>42941</v>
      </c>
    </row>
    <row r="465" spans="1:16" ht="14.25">
      <c r="A465" s="10">
        <v>2017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0</v>
      </c>
      <c r="M465" s="8">
        <v>2017</v>
      </c>
      <c r="N465" s="9">
        <v>0</v>
      </c>
      <c r="O465" s="13">
        <v>42941</v>
      </c>
      <c r="P465" s="13">
        <v>42941</v>
      </c>
    </row>
    <row r="466" spans="1:16" ht="14.25">
      <c r="A466" s="10">
        <v>2017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5</v>
      </c>
      <c r="M466" s="8">
        <v>2022</v>
      </c>
      <c r="N466" s="9">
        <v>0</v>
      </c>
      <c r="O466" s="13">
        <v>42941</v>
      </c>
      <c r="P466" s="13">
        <v>42941</v>
      </c>
    </row>
    <row r="467" spans="1:16" ht="14.25">
      <c r="A467" s="10">
        <v>2017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4</v>
      </c>
      <c r="M467" s="8">
        <v>2021</v>
      </c>
      <c r="N467" s="9">
        <v>0</v>
      </c>
      <c r="O467" s="13">
        <v>42941</v>
      </c>
      <c r="P467" s="13">
        <v>42941</v>
      </c>
    </row>
    <row r="468" spans="1:16" ht="14.25">
      <c r="A468" s="10">
        <v>2017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6</v>
      </c>
      <c r="M468" s="8">
        <v>2023</v>
      </c>
      <c r="N468" s="9">
        <v>0</v>
      </c>
      <c r="O468" s="13">
        <v>42941</v>
      </c>
      <c r="P468" s="13">
        <v>42941</v>
      </c>
    </row>
    <row r="469" spans="1:16" ht="14.25">
      <c r="A469" s="10">
        <v>2017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2</v>
      </c>
      <c r="M469" s="8">
        <v>2019</v>
      </c>
      <c r="N469" s="9">
        <v>0</v>
      </c>
      <c r="O469" s="13">
        <v>42941</v>
      </c>
      <c r="P469" s="13">
        <v>42941</v>
      </c>
    </row>
    <row r="470" spans="1:16" ht="14.25">
      <c r="A470" s="10">
        <v>2017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9</v>
      </c>
      <c r="M470" s="8">
        <v>2026</v>
      </c>
      <c r="N470" s="9">
        <v>0</v>
      </c>
      <c r="O470" s="13">
        <v>42941</v>
      </c>
      <c r="P470" s="13">
        <v>42941</v>
      </c>
    </row>
    <row r="471" spans="1:16" ht="14.25">
      <c r="A471" s="10">
        <v>2017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8</v>
      </c>
      <c r="M471" s="8">
        <v>2025</v>
      </c>
      <c r="N471" s="9">
        <v>0</v>
      </c>
      <c r="O471" s="13">
        <v>42941</v>
      </c>
      <c r="P471" s="13">
        <v>42941</v>
      </c>
    </row>
    <row r="472" spans="1:16" ht="14.25">
      <c r="A472" s="10">
        <v>2017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1</v>
      </c>
      <c r="M472" s="8">
        <v>2018</v>
      </c>
      <c r="N472" s="9">
        <v>0</v>
      </c>
      <c r="O472" s="13">
        <v>42941</v>
      </c>
      <c r="P472" s="13">
        <v>42941</v>
      </c>
    </row>
    <row r="473" spans="1:16" ht="14.25">
      <c r="A473" s="10">
        <v>2017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3</v>
      </c>
      <c r="M473" s="8">
        <v>2020</v>
      </c>
      <c r="N473" s="9">
        <v>0</v>
      </c>
      <c r="O473" s="13">
        <v>42941</v>
      </c>
      <c r="P473" s="13">
        <v>42941</v>
      </c>
    </row>
    <row r="474" spans="1:16" ht="14.25">
      <c r="A474" s="10">
        <v>2017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4</v>
      </c>
      <c r="M474" s="8">
        <v>2021</v>
      </c>
      <c r="N474" s="9">
        <v>1687000</v>
      </c>
      <c r="O474" s="13">
        <v>42941</v>
      </c>
      <c r="P474" s="13">
        <v>42941</v>
      </c>
    </row>
    <row r="475" spans="1:16" ht="14.25">
      <c r="A475" s="10">
        <v>2017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8</v>
      </c>
      <c r="M475" s="8">
        <v>2025</v>
      </c>
      <c r="N475" s="9">
        <v>1500000</v>
      </c>
      <c r="O475" s="13">
        <v>42941</v>
      </c>
      <c r="P475" s="13">
        <v>42941</v>
      </c>
    </row>
    <row r="476" spans="1:16" ht="14.25">
      <c r="A476" s="10">
        <v>2017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9</v>
      </c>
      <c r="M476" s="8">
        <v>2026</v>
      </c>
      <c r="N476" s="9">
        <v>1403924</v>
      </c>
      <c r="O476" s="13">
        <v>42941</v>
      </c>
      <c r="P476" s="13">
        <v>42941</v>
      </c>
    </row>
    <row r="477" spans="1:16" ht="14.25">
      <c r="A477" s="10">
        <v>2017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7</v>
      </c>
      <c r="M477" s="8">
        <v>2024</v>
      </c>
      <c r="N477" s="9">
        <v>1500000</v>
      </c>
      <c r="O477" s="13">
        <v>42941</v>
      </c>
      <c r="P477" s="13">
        <v>42941</v>
      </c>
    </row>
    <row r="478" spans="1:16" ht="14.25">
      <c r="A478" s="10">
        <v>2017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0</v>
      </c>
      <c r="M478" s="8">
        <v>2017</v>
      </c>
      <c r="N478" s="9">
        <v>3113923.47</v>
      </c>
      <c r="O478" s="13">
        <v>42941</v>
      </c>
      <c r="P478" s="13">
        <v>42941</v>
      </c>
    </row>
    <row r="479" spans="1:16" ht="14.25">
      <c r="A479" s="10">
        <v>2017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2</v>
      </c>
      <c r="M479" s="8">
        <v>2019</v>
      </c>
      <c r="N479" s="9">
        <v>1630000</v>
      </c>
      <c r="O479" s="13">
        <v>42941</v>
      </c>
      <c r="P479" s="13">
        <v>42941</v>
      </c>
    </row>
    <row r="480" spans="1:16" ht="14.25">
      <c r="A480" s="10">
        <v>2017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1</v>
      </c>
      <c r="M480" s="8">
        <v>2018</v>
      </c>
      <c r="N480" s="9">
        <v>1725309</v>
      </c>
      <c r="O480" s="13">
        <v>42941</v>
      </c>
      <c r="P480" s="13">
        <v>42941</v>
      </c>
    </row>
    <row r="481" spans="1:16" ht="14.25">
      <c r="A481" s="10">
        <v>2017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3</v>
      </c>
      <c r="M481" s="8">
        <v>2020</v>
      </c>
      <c r="N481" s="9">
        <v>1656076</v>
      </c>
      <c r="O481" s="13">
        <v>42941</v>
      </c>
      <c r="P481" s="13">
        <v>42941</v>
      </c>
    </row>
    <row r="482" spans="1:16" ht="14.25">
      <c r="A482" s="10">
        <v>2017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5</v>
      </c>
      <c r="M482" s="8">
        <v>2022</v>
      </c>
      <c r="N482" s="9">
        <v>1600000</v>
      </c>
      <c r="O482" s="13">
        <v>42941</v>
      </c>
      <c r="P482" s="13">
        <v>42941</v>
      </c>
    </row>
    <row r="483" spans="1:16" ht="14.25">
      <c r="A483" s="10">
        <v>2017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6</v>
      </c>
      <c r="M483" s="8">
        <v>2023</v>
      </c>
      <c r="N483" s="9">
        <v>1500000</v>
      </c>
      <c r="O483" s="13">
        <v>42941</v>
      </c>
      <c r="P483" s="13">
        <v>42941</v>
      </c>
    </row>
    <row r="484" spans="1:16" ht="14.25">
      <c r="A484" s="10">
        <v>2017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8</v>
      </c>
      <c r="M484" s="8">
        <v>2025</v>
      </c>
      <c r="N484" s="9">
        <v>0</v>
      </c>
      <c r="O484" s="13">
        <v>42941</v>
      </c>
      <c r="P484" s="13">
        <v>42941</v>
      </c>
    </row>
    <row r="485" spans="1:16" ht="14.25">
      <c r="A485" s="10">
        <v>2017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9</v>
      </c>
      <c r="M485" s="8">
        <v>2026</v>
      </c>
      <c r="N485" s="9">
        <v>0</v>
      </c>
      <c r="O485" s="13">
        <v>42941</v>
      </c>
      <c r="P485" s="13">
        <v>42941</v>
      </c>
    </row>
    <row r="486" spans="1:16" ht="14.25">
      <c r="A486" s="10">
        <v>2017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7</v>
      </c>
      <c r="M486" s="8">
        <v>2024</v>
      </c>
      <c r="N486" s="9">
        <v>0</v>
      </c>
      <c r="O486" s="13">
        <v>42941</v>
      </c>
      <c r="P486" s="13">
        <v>42941</v>
      </c>
    </row>
    <row r="487" spans="1:16" ht="14.25">
      <c r="A487" s="10">
        <v>2017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3</v>
      </c>
      <c r="M487" s="8">
        <v>2020</v>
      </c>
      <c r="N487" s="9">
        <v>0</v>
      </c>
      <c r="O487" s="13">
        <v>42941</v>
      </c>
      <c r="P487" s="13">
        <v>42941</v>
      </c>
    </row>
    <row r="488" spans="1:16" ht="14.25">
      <c r="A488" s="10">
        <v>2017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2</v>
      </c>
      <c r="M488" s="8">
        <v>2019</v>
      </c>
      <c r="N488" s="9">
        <v>0</v>
      </c>
      <c r="O488" s="13">
        <v>42941</v>
      </c>
      <c r="P488" s="13">
        <v>42941</v>
      </c>
    </row>
    <row r="489" spans="1:16" ht="14.25">
      <c r="A489" s="10">
        <v>2017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0</v>
      </c>
      <c r="M489" s="8">
        <v>2017</v>
      </c>
      <c r="N489" s="9">
        <v>3411472.72</v>
      </c>
      <c r="O489" s="13">
        <v>42941</v>
      </c>
      <c r="P489" s="13">
        <v>42941</v>
      </c>
    </row>
    <row r="490" spans="1:16" ht="14.25">
      <c r="A490" s="10">
        <v>2017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4</v>
      </c>
      <c r="M490" s="8">
        <v>2021</v>
      </c>
      <c r="N490" s="9">
        <v>0</v>
      </c>
      <c r="O490" s="13">
        <v>42941</v>
      </c>
      <c r="P490" s="13">
        <v>42941</v>
      </c>
    </row>
    <row r="491" spans="1:16" ht="14.25">
      <c r="A491" s="10">
        <v>2017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6</v>
      </c>
      <c r="M491" s="8">
        <v>2023</v>
      </c>
      <c r="N491" s="9">
        <v>0</v>
      </c>
      <c r="O491" s="13">
        <v>42941</v>
      </c>
      <c r="P491" s="13">
        <v>42941</v>
      </c>
    </row>
    <row r="492" spans="1:16" ht="14.25">
      <c r="A492" s="10">
        <v>2017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5</v>
      </c>
      <c r="M492" s="8">
        <v>2022</v>
      </c>
      <c r="N492" s="9">
        <v>0</v>
      </c>
      <c r="O492" s="13">
        <v>42941</v>
      </c>
      <c r="P492" s="13">
        <v>42941</v>
      </c>
    </row>
    <row r="493" spans="1:16" ht="14.25">
      <c r="A493" s="10">
        <v>2017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1</v>
      </c>
      <c r="M493" s="8">
        <v>2018</v>
      </c>
      <c r="N493" s="9">
        <v>1543247</v>
      </c>
      <c r="O493" s="13">
        <v>42941</v>
      </c>
      <c r="P493" s="13">
        <v>42941</v>
      </c>
    </row>
    <row r="494" spans="1:16" ht="14.25">
      <c r="A494" s="10">
        <v>2017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8</v>
      </c>
      <c r="M494" s="8">
        <v>2025</v>
      </c>
      <c r="N494" s="9">
        <v>12400000</v>
      </c>
      <c r="O494" s="13">
        <v>42941</v>
      </c>
      <c r="P494" s="13">
        <v>42941</v>
      </c>
    </row>
    <row r="495" spans="1:16" ht="14.25">
      <c r="A495" s="10">
        <v>2017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2</v>
      </c>
      <c r="M495" s="8">
        <v>2019</v>
      </c>
      <c r="N495" s="9">
        <v>12150000</v>
      </c>
      <c r="O495" s="13">
        <v>42941</v>
      </c>
      <c r="P495" s="13">
        <v>42941</v>
      </c>
    </row>
    <row r="496" spans="1:16" ht="14.25">
      <c r="A496" s="10">
        <v>2017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4</v>
      </c>
      <c r="M496" s="8">
        <v>2021</v>
      </c>
      <c r="N496" s="9">
        <v>12400000</v>
      </c>
      <c r="O496" s="13">
        <v>42941</v>
      </c>
      <c r="P496" s="13">
        <v>42941</v>
      </c>
    </row>
    <row r="497" spans="1:16" ht="14.25">
      <c r="A497" s="10">
        <v>2017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9</v>
      </c>
      <c r="M497" s="8">
        <v>2026</v>
      </c>
      <c r="N497" s="9">
        <v>12400000</v>
      </c>
      <c r="O497" s="13">
        <v>42941</v>
      </c>
      <c r="P497" s="13">
        <v>42941</v>
      </c>
    </row>
    <row r="498" spans="1:16" ht="14.25">
      <c r="A498" s="10">
        <v>2017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5</v>
      </c>
      <c r="M498" s="8">
        <v>2022</v>
      </c>
      <c r="N498" s="9">
        <v>12400000</v>
      </c>
      <c r="O498" s="13">
        <v>42941</v>
      </c>
      <c r="P498" s="13">
        <v>42941</v>
      </c>
    </row>
    <row r="499" spans="1:16" ht="14.25">
      <c r="A499" s="10">
        <v>2017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0</v>
      </c>
      <c r="M499" s="8">
        <v>2017</v>
      </c>
      <c r="N499" s="9">
        <v>12071315</v>
      </c>
      <c r="O499" s="13">
        <v>42941</v>
      </c>
      <c r="P499" s="13">
        <v>42941</v>
      </c>
    </row>
    <row r="500" spans="1:16" ht="14.25">
      <c r="A500" s="10">
        <v>2017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3</v>
      </c>
      <c r="M500" s="8">
        <v>2020</v>
      </c>
      <c r="N500" s="9">
        <v>12300000</v>
      </c>
      <c r="O500" s="13">
        <v>42941</v>
      </c>
      <c r="P500" s="13">
        <v>42941</v>
      </c>
    </row>
    <row r="501" spans="1:16" ht="14.25">
      <c r="A501" s="10">
        <v>2017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1</v>
      </c>
      <c r="M501" s="8">
        <v>2018</v>
      </c>
      <c r="N501" s="9">
        <v>12000000</v>
      </c>
      <c r="O501" s="13">
        <v>42941</v>
      </c>
      <c r="P501" s="13">
        <v>42941</v>
      </c>
    </row>
    <row r="502" spans="1:16" ht="14.25">
      <c r="A502" s="10">
        <v>2017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6</v>
      </c>
      <c r="M502" s="8">
        <v>2023</v>
      </c>
      <c r="N502" s="9">
        <v>12400000</v>
      </c>
      <c r="O502" s="13">
        <v>42941</v>
      </c>
      <c r="P502" s="13">
        <v>42941</v>
      </c>
    </row>
    <row r="503" spans="1:16" ht="14.25">
      <c r="A503" s="10">
        <v>2017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7</v>
      </c>
      <c r="M503" s="8">
        <v>2024</v>
      </c>
      <c r="N503" s="9">
        <v>12400000</v>
      </c>
      <c r="O503" s="13">
        <v>42941</v>
      </c>
      <c r="P503" s="13">
        <v>42941</v>
      </c>
    </row>
    <row r="504" spans="1:16" ht="14.25">
      <c r="A504" s="10">
        <v>2017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4</v>
      </c>
      <c r="M504" s="8">
        <v>2021</v>
      </c>
      <c r="N504" s="9">
        <v>0</v>
      </c>
      <c r="O504" s="13">
        <v>42941</v>
      </c>
      <c r="P504" s="13">
        <v>42941</v>
      </c>
    </row>
    <row r="505" spans="1:16" ht="14.25">
      <c r="A505" s="10">
        <v>2017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2</v>
      </c>
      <c r="M505" s="8">
        <v>2019</v>
      </c>
      <c r="N505" s="9">
        <v>0</v>
      </c>
      <c r="O505" s="13">
        <v>42941</v>
      </c>
      <c r="P505" s="13">
        <v>42941</v>
      </c>
    </row>
    <row r="506" spans="1:16" ht="14.25">
      <c r="A506" s="10">
        <v>2017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7</v>
      </c>
      <c r="M506" s="8">
        <v>2024</v>
      </c>
      <c r="N506" s="9">
        <v>0</v>
      </c>
      <c r="O506" s="13">
        <v>42941</v>
      </c>
      <c r="P506" s="13">
        <v>42941</v>
      </c>
    </row>
    <row r="507" spans="1:16" ht="14.25">
      <c r="A507" s="10">
        <v>2017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6</v>
      </c>
      <c r="M507" s="8">
        <v>2023</v>
      </c>
      <c r="N507" s="9">
        <v>0</v>
      </c>
      <c r="O507" s="13">
        <v>42941</v>
      </c>
      <c r="P507" s="13">
        <v>42941</v>
      </c>
    </row>
    <row r="508" spans="1:16" ht="14.25">
      <c r="A508" s="10">
        <v>2017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1</v>
      </c>
      <c r="M508" s="8">
        <v>2018</v>
      </c>
      <c r="N508" s="9">
        <v>4600000</v>
      </c>
      <c r="O508" s="13">
        <v>42941</v>
      </c>
      <c r="P508" s="13">
        <v>42941</v>
      </c>
    </row>
    <row r="509" spans="1:16" ht="14.25">
      <c r="A509" s="10">
        <v>2017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8</v>
      </c>
      <c r="M509" s="8">
        <v>2025</v>
      </c>
      <c r="N509" s="9">
        <v>0</v>
      </c>
      <c r="O509" s="13">
        <v>42941</v>
      </c>
      <c r="P509" s="13">
        <v>42941</v>
      </c>
    </row>
    <row r="510" spans="1:16" ht="14.25">
      <c r="A510" s="10">
        <v>2017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9</v>
      </c>
      <c r="M510" s="8">
        <v>2026</v>
      </c>
      <c r="N510" s="9">
        <v>0</v>
      </c>
      <c r="O510" s="13">
        <v>42941</v>
      </c>
      <c r="P510" s="13">
        <v>42941</v>
      </c>
    </row>
    <row r="511" spans="1:16" ht="14.25">
      <c r="A511" s="10">
        <v>2017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5</v>
      </c>
      <c r="M511" s="8">
        <v>2022</v>
      </c>
      <c r="N511" s="9">
        <v>0</v>
      </c>
      <c r="O511" s="13">
        <v>42941</v>
      </c>
      <c r="P511" s="13">
        <v>42941</v>
      </c>
    </row>
    <row r="512" spans="1:16" ht="14.25">
      <c r="A512" s="10">
        <v>2017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3</v>
      </c>
      <c r="M512" s="8">
        <v>2020</v>
      </c>
      <c r="N512" s="9">
        <v>0</v>
      </c>
      <c r="O512" s="13">
        <v>42941</v>
      </c>
      <c r="P512" s="13">
        <v>42941</v>
      </c>
    </row>
    <row r="513" spans="1:16" ht="14.25">
      <c r="A513" s="10">
        <v>2017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0</v>
      </c>
      <c r="M513" s="8">
        <v>2017</v>
      </c>
      <c r="N513" s="9">
        <v>3800000</v>
      </c>
      <c r="O513" s="13">
        <v>42941</v>
      </c>
      <c r="P513" s="13">
        <v>42941</v>
      </c>
    </row>
    <row r="514" spans="1:16" ht="14.25">
      <c r="A514" s="10">
        <v>2017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10</v>
      </c>
      <c r="H514" s="12">
        <v>1</v>
      </c>
      <c r="I514" s="12" t="s">
        <v>479</v>
      </c>
      <c r="J514" s="12" t="s">
        <v>24</v>
      </c>
      <c r="K514" s="12" t="b">
        <v>1</v>
      </c>
      <c r="L514" s="12">
        <v>7</v>
      </c>
      <c r="M514" s="8">
        <v>2024</v>
      </c>
      <c r="N514" s="9">
        <v>36458762</v>
      </c>
      <c r="O514" s="13">
        <v>42941</v>
      </c>
      <c r="P514" s="13">
        <v>42941</v>
      </c>
    </row>
    <row r="515" spans="1:16" ht="14.25">
      <c r="A515" s="10">
        <v>2017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10</v>
      </c>
      <c r="H515" s="12">
        <v>1</v>
      </c>
      <c r="I515" s="12" t="s">
        <v>479</v>
      </c>
      <c r="J515" s="12" t="s">
        <v>24</v>
      </c>
      <c r="K515" s="12" t="b">
        <v>1</v>
      </c>
      <c r="L515" s="12">
        <v>3</v>
      </c>
      <c r="M515" s="8">
        <v>2020</v>
      </c>
      <c r="N515" s="9">
        <v>36097762</v>
      </c>
      <c r="O515" s="13">
        <v>42941</v>
      </c>
      <c r="P515" s="13">
        <v>42941</v>
      </c>
    </row>
    <row r="516" spans="1:16" ht="14.25">
      <c r="A516" s="10">
        <v>2017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10</v>
      </c>
      <c r="H516" s="12">
        <v>1</v>
      </c>
      <c r="I516" s="12" t="s">
        <v>479</v>
      </c>
      <c r="J516" s="12" t="s">
        <v>24</v>
      </c>
      <c r="K516" s="12" t="b">
        <v>1</v>
      </c>
      <c r="L516" s="12">
        <v>6</v>
      </c>
      <c r="M516" s="8">
        <v>2023</v>
      </c>
      <c r="N516" s="9">
        <v>36458762</v>
      </c>
      <c r="O516" s="13">
        <v>42941</v>
      </c>
      <c r="P516" s="13">
        <v>42941</v>
      </c>
    </row>
    <row r="517" spans="1:16" ht="14.25">
      <c r="A517" s="10">
        <v>2017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10</v>
      </c>
      <c r="H517" s="12">
        <v>1</v>
      </c>
      <c r="I517" s="12" t="s">
        <v>479</v>
      </c>
      <c r="J517" s="12" t="s">
        <v>24</v>
      </c>
      <c r="K517" s="12" t="b">
        <v>1</v>
      </c>
      <c r="L517" s="12">
        <v>5</v>
      </c>
      <c r="M517" s="8">
        <v>2022</v>
      </c>
      <c r="N517" s="9">
        <v>36458762</v>
      </c>
      <c r="O517" s="13">
        <v>42941</v>
      </c>
      <c r="P517" s="13">
        <v>42941</v>
      </c>
    </row>
    <row r="518" spans="1:16" ht="14.25">
      <c r="A518" s="10">
        <v>2017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10</v>
      </c>
      <c r="H518" s="12">
        <v>1</v>
      </c>
      <c r="I518" s="12" t="s">
        <v>479</v>
      </c>
      <c r="J518" s="12" t="s">
        <v>24</v>
      </c>
      <c r="K518" s="12" t="b">
        <v>1</v>
      </c>
      <c r="L518" s="12">
        <v>0</v>
      </c>
      <c r="M518" s="8">
        <v>2017</v>
      </c>
      <c r="N518" s="9">
        <v>35686877.99</v>
      </c>
      <c r="O518" s="13">
        <v>42941</v>
      </c>
      <c r="P518" s="13">
        <v>42941</v>
      </c>
    </row>
    <row r="519" spans="1:16" ht="14.25">
      <c r="A519" s="10">
        <v>2017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10</v>
      </c>
      <c r="H519" s="12">
        <v>1</v>
      </c>
      <c r="I519" s="12" t="s">
        <v>479</v>
      </c>
      <c r="J519" s="12" t="s">
        <v>24</v>
      </c>
      <c r="K519" s="12" t="b">
        <v>1</v>
      </c>
      <c r="L519" s="12">
        <v>1</v>
      </c>
      <c r="M519" s="8">
        <v>2018</v>
      </c>
      <c r="N519" s="9">
        <v>37978209</v>
      </c>
      <c r="O519" s="13">
        <v>42941</v>
      </c>
      <c r="P519" s="13">
        <v>42941</v>
      </c>
    </row>
    <row r="520" spans="1:16" ht="14.25">
      <c r="A520" s="10">
        <v>2017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10</v>
      </c>
      <c r="H520" s="12">
        <v>1</v>
      </c>
      <c r="I520" s="12" t="s">
        <v>479</v>
      </c>
      <c r="J520" s="12" t="s">
        <v>24</v>
      </c>
      <c r="K520" s="12" t="b">
        <v>1</v>
      </c>
      <c r="L520" s="12">
        <v>4</v>
      </c>
      <c r="M520" s="8">
        <v>2021</v>
      </c>
      <c r="N520" s="9">
        <v>36458762</v>
      </c>
      <c r="O520" s="13">
        <v>42941</v>
      </c>
      <c r="P520" s="13">
        <v>42941</v>
      </c>
    </row>
    <row r="521" spans="1:16" ht="14.25">
      <c r="A521" s="10">
        <v>2017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10</v>
      </c>
      <c r="H521" s="12">
        <v>1</v>
      </c>
      <c r="I521" s="12" t="s">
        <v>479</v>
      </c>
      <c r="J521" s="12" t="s">
        <v>24</v>
      </c>
      <c r="K521" s="12" t="b">
        <v>1</v>
      </c>
      <c r="L521" s="12">
        <v>9</v>
      </c>
      <c r="M521" s="8">
        <v>2026</v>
      </c>
      <c r="N521" s="9">
        <v>36458762</v>
      </c>
      <c r="O521" s="13">
        <v>42941</v>
      </c>
      <c r="P521" s="13">
        <v>42941</v>
      </c>
    </row>
    <row r="522" spans="1:16" ht="14.25">
      <c r="A522" s="10">
        <v>2017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10</v>
      </c>
      <c r="H522" s="12">
        <v>1</v>
      </c>
      <c r="I522" s="12" t="s">
        <v>479</v>
      </c>
      <c r="J522" s="12" t="s">
        <v>24</v>
      </c>
      <c r="K522" s="12" t="b">
        <v>1</v>
      </c>
      <c r="L522" s="12">
        <v>2</v>
      </c>
      <c r="M522" s="8">
        <v>2019</v>
      </c>
      <c r="N522" s="9">
        <v>38085749</v>
      </c>
      <c r="O522" s="13">
        <v>42941</v>
      </c>
      <c r="P522" s="13">
        <v>42941</v>
      </c>
    </row>
    <row r="523" spans="1:16" ht="14.25">
      <c r="A523" s="10">
        <v>2017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10</v>
      </c>
      <c r="H523" s="12">
        <v>1</v>
      </c>
      <c r="I523" s="12" t="s">
        <v>479</v>
      </c>
      <c r="J523" s="12" t="s">
        <v>24</v>
      </c>
      <c r="K523" s="12" t="b">
        <v>1</v>
      </c>
      <c r="L523" s="12">
        <v>8</v>
      </c>
      <c r="M523" s="8">
        <v>2025</v>
      </c>
      <c r="N523" s="9">
        <v>36458762</v>
      </c>
      <c r="O523" s="13">
        <v>42941</v>
      </c>
      <c r="P523" s="13">
        <v>42941</v>
      </c>
    </row>
    <row r="524" spans="1:16" ht="14.25">
      <c r="A524" s="10">
        <v>2017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8</v>
      </c>
      <c r="M524" s="8">
        <v>2025</v>
      </c>
      <c r="N524" s="9">
        <v>0</v>
      </c>
      <c r="O524" s="13">
        <v>42941</v>
      </c>
      <c r="P524" s="13">
        <v>42941</v>
      </c>
    </row>
    <row r="525" spans="1:16" ht="14.25">
      <c r="A525" s="10">
        <v>2017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0</v>
      </c>
      <c r="M525" s="8">
        <v>2017</v>
      </c>
      <c r="N525" s="9">
        <v>4902309</v>
      </c>
      <c r="O525" s="13">
        <v>42941</v>
      </c>
      <c r="P525" s="13">
        <v>42941</v>
      </c>
    </row>
    <row r="526" spans="1:16" ht="14.25">
      <c r="A526" s="10">
        <v>2017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4</v>
      </c>
      <c r="M526" s="8">
        <v>2021</v>
      </c>
      <c r="N526" s="9">
        <v>2456457</v>
      </c>
      <c r="O526" s="13">
        <v>42941</v>
      </c>
      <c r="P526" s="13">
        <v>42941</v>
      </c>
    </row>
    <row r="527" spans="1:16" ht="14.25">
      <c r="A527" s="10">
        <v>2017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3</v>
      </c>
      <c r="M527" s="8">
        <v>2020</v>
      </c>
      <c r="N527" s="9">
        <v>2993457</v>
      </c>
      <c r="O527" s="13">
        <v>42941</v>
      </c>
      <c r="P527" s="13">
        <v>42941</v>
      </c>
    </row>
    <row r="528" spans="1:16" ht="14.25">
      <c r="A528" s="10">
        <v>2017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7</v>
      </c>
      <c r="M528" s="8">
        <v>2024</v>
      </c>
      <c r="N528" s="9">
        <v>556457</v>
      </c>
      <c r="O528" s="13">
        <v>42941</v>
      </c>
      <c r="P528" s="13">
        <v>42941</v>
      </c>
    </row>
    <row r="529" spans="1:16" ht="14.25">
      <c r="A529" s="10">
        <v>2017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2</v>
      </c>
      <c r="M529" s="8">
        <v>2019</v>
      </c>
      <c r="N529" s="9">
        <v>3549533</v>
      </c>
      <c r="O529" s="13">
        <v>42941</v>
      </c>
      <c r="P529" s="13">
        <v>42941</v>
      </c>
    </row>
    <row r="530" spans="1:16" ht="14.25">
      <c r="A530" s="10">
        <v>2017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5</v>
      </c>
      <c r="M530" s="8">
        <v>2022</v>
      </c>
      <c r="N530" s="9">
        <v>1956457</v>
      </c>
      <c r="O530" s="13">
        <v>42941</v>
      </c>
      <c r="P530" s="13">
        <v>42941</v>
      </c>
    </row>
    <row r="531" spans="1:16" ht="14.25">
      <c r="A531" s="10">
        <v>2017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9</v>
      </c>
      <c r="M531" s="8">
        <v>2026</v>
      </c>
      <c r="N531" s="9">
        <v>0</v>
      </c>
      <c r="O531" s="13">
        <v>42941</v>
      </c>
      <c r="P531" s="13">
        <v>42941</v>
      </c>
    </row>
    <row r="532" spans="1:16" ht="14.25">
      <c r="A532" s="10">
        <v>2017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1</v>
      </c>
      <c r="M532" s="8">
        <v>2018</v>
      </c>
      <c r="N532" s="9">
        <v>6445556</v>
      </c>
      <c r="O532" s="13">
        <v>42941</v>
      </c>
      <c r="P532" s="13">
        <v>42941</v>
      </c>
    </row>
    <row r="533" spans="1:16" ht="14.25">
      <c r="A533" s="10">
        <v>2017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6</v>
      </c>
      <c r="M533" s="8">
        <v>2023</v>
      </c>
      <c r="N533" s="9">
        <v>1256457</v>
      </c>
      <c r="O533" s="13">
        <v>42941</v>
      </c>
      <c r="P533" s="13">
        <v>42941</v>
      </c>
    </row>
    <row r="534" spans="1:16" ht="14.25">
      <c r="A534" s="10">
        <v>2017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8</v>
      </c>
      <c r="M534" s="8">
        <v>2025</v>
      </c>
      <c r="N534" s="9">
        <v>0</v>
      </c>
      <c r="O534" s="13">
        <v>42941</v>
      </c>
      <c r="P534" s="13">
        <v>42941</v>
      </c>
    </row>
    <row r="535" spans="1:16" ht="14.25">
      <c r="A535" s="10">
        <v>2017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2</v>
      </c>
      <c r="M535" s="8">
        <v>2019</v>
      </c>
      <c r="N535" s="9">
        <v>0</v>
      </c>
      <c r="O535" s="13">
        <v>42941</v>
      </c>
      <c r="P535" s="13">
        <v>42941</v>
      </c>
    </row>
    <row r="536" spans="1:16" ht="14.25">
      <c r="A536" s="10">
        <v>2017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0</v>
      </c>
      <c r="M536" s="8">
        <v>2017</v>
      </c>
      <c r="N536" s="9">
        <v>5188000</v>
      </c>
      <c r="O536" s="13">
        <v>42941</v>
      </c>
      <c r="P536" s="13">
        <v>42941</v>
      </c>
    </row>
    <row r="537" spans="1:16" ht="14.25">
      <c r="A537" s="10">
        <v>2017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5</v>
      </c>
      <c r="M537" s="8">
        <v>2022</v>
      </c>
      <c r="N537" s="9">
        <v>0</v>
      </c>
      <c r="O537" s="13">
        <v>42941</v>
      </c>
      <c r="P537" s="13">
        <v>42941</v>
      </c>
    </row>
    <row r="538" spans="1:16" ht="14.25">
      <c r="A538" s="10">
        <v>2017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9</v>
      </c>
      <c r="M538" s="8">
        <v>2026</v>
      </c>
      <c r="N538" s="9">
        <v>0</v>
      </c>
      <c r="O538" s="13">
        <v>42941</v>
      </c>
      <c r="P538" s="13">
        <v>42941</v>
      </c>
    </row>
    <row r="539" spans="1:16" ht="14.25">
      <c r="A539" s="10">
        <v>2017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7</v>
      </c>
      <c r="M539" s="8">
        <v>2024</v>
      </c>
      <c r="N539" s="9">
        <v>0</v>
      </c>
      <c r="O539" s="13">
        <v>42941</v>
      </c>
      <c r="P539" s="13">
        <v>42941</v>
      </c>
    </row>
    <row r="540" spans="1:16" ht="14.25">
      <c r="A540" s="10">
        <v>2017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6</v>
      </c>
      <c r="M540" s="8">
        <v>2023</v>
      </c>
      <c r="N540" s="9">
        <v>0</v>
      </c>
      <c r="O540" s="13">
        <v>42941</v>
      </c>
      <c r="P540" s="13">
        <v>42941</v>
      </c>
    </row>
    <row r="541" spans="1:16" ht="14.25">
      <c r="A541" s="10">
        <v>2017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4</v>
      </c>
      <c r="M541" s="8">
        <v>2021</v>
      </c>
      <c r="N541" s="9">
        <v>0</v>
      </c>
      <c r="O541" s="13">
        <v>42941</v>
      </c>
      <c r="P541" s="13">
        <v>42941</v>
      </c>
    </row>
    <row r="542" spans="1:16" ht="14.25">
      <c r="A542" s="10">
        <v>2017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1</v>
      </c>
      <c r="M542" s="8">
        <v>2018</v>
      </c>
      <c r="N542" s="9">
        <v>1700000</v>
      </c>
      <c r="O542" s="13">
        <v>42941</v>
      </c>
      <c r="P542" s="13">
        <v>42941</v>
      </c>
    </row>
    <row r="543" spans="1:16" ht="14.25">
      <c r="A543" s="10">
        <v>2017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3</v>
      </c>
      <c r="M543" s="8">
        <v>2020</v>
      </c>
      <c r="N543" s="9">
        <v>0</v>
      </c>
      <c r="O543" s="13">
        <v>42941</v>
      </c>
      <c r="P543" s="13">
        <v>42941</v>
      </c>
    </row>
    <row r="544" spans="1:16" ht="14.25">
      <c r="A544" s="10">
        <v>2017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1</v>
      </c>
      <c r="M544" s="8">
        <v>2018</v>
      </c>
      <c r="N544" s="9">
        <v>0</v>
      </c>
      <c r="O544" s="13">
        <v>42941</v>
      </c>
      <c r="P544" s="13">
        <v>42941</v>
      </c>
    </row>
    <row r="545" spans="1:16" ht="14.25">
      <c r="A545" s="10">
        <v>2017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5</v>
      </c>
      <c r="M545" s="8">
        <v>2022</v>
      </c>
      <c r="N545" s="9">
        <v>0</v>
      </c>
      <c r="O545" s="13">
        <v>42941</v>
      </c>
      <c r="P545" s="13">
        <v>42941</v>
      </c>
    </row>
    <row r="546" spans="1:16" ht="14.25">
      <c r="A546" s="10">
        <v>2017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2</v>
      </c>
      <c r="M546" s="8">
        <v>2019</v>
      </c>
      <c r="N546" s="9">
        <v>0</v>
      </c>
      <c r="O546" s="13">
        <v>42941</v>
      </c>
      <c r="P546" s="13">
        <v>42941</v>
      </c>
    </row>
    <row r="547" spans="1:16" ht="14.25">
      <c r="A547" s="10">
        <v>2017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7</v>
      </c>
      <c r="M547" s="8">
        <v>2024</v>
      </c>
      <c r="N547" s="9">
        <v>0</v>
      </c>
      <c r="O547" s="13">
        <v>42941</v>
      </c>
      <c r="P547" s="13">
        <v>42941</v>
      </c>
    </row>
    <row r="548" spans="1:16" ht="14.25">
      <c r="A548" s="10">
        <v>2017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3</v>
      </c>
      <c r="M548" s="8">
        <v>2020</v>
      </c>
      <c r="N548" s="9">
        <v>0</v>
      </c>
      <c r="O548" s="13">
        <v>42941</v>
      </c>
      <c r="P548" s="13">
        <v>42941</v>
      </c>
    </row>
    <row r="549" spans="1:16" ht="14.25">
      <c r="A549" s="10">
        <v>2017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8</v>
      </c>
      <c r="M549" s="8">
        <v>2025</v>
      </c>
      <c r="N549" s="9">
        <v>0</v>
      </c>
      <c r="O549" s="13">
        <v>42941</v>
      </c>
      <c r="P549" s="13">
        <v>42941</v>
      </c>
    </row>
    <row r="550" spans="1:16" ht="14.25">
      <c r="A550" s="10">
        <v>2017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6</v>
      </c>
      <c r="M550" s="8">
        <v>2023</v>
      </c>
      <c r="N550" s="9">
        <v>0</v>
      </c>
      <c r="O550" s="13">
        <v>42941</v>
      </c>
      <c r="P550" s="13">
        <v>42941</v>
      </c>
    </row>
    <row r="551" spans="1:16" ht="14.25">
      <c r="A551" s="10">
        <v>2017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0</v>
      </c>
      <c r="M551" s="8">
        <v>2017</v>
      </c>
      <c r="N551" s="9">
        <v>0</v>
      </c>
      <c r="O551" s="13">
        <v>42941</v>
      </c>
      <c r="P551" s="13">
        <v>42941</v>
      </c>
    </row>
    <row r="552" spans="1:16" ht="14.25">
      <c r="A552" s="10">
        <v>2017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4</v>
      </c>
      <c r="M552" s="8">
        <v>2021</v>
      </c>
      <c r="N552" s="9">
        <v>0</v>
      </c>
      <c r="O552" s="13">
        <v>42941</v>
      </c>
      <c r="P552" s="13">
        <v>42941</v>
      </c>
    </row>
    <row r="553" spans="1:16" ht="14.25">
      <c r="A553" s="10">
        <v>2017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9</v>
      </c>
      <c r="M553" s="8">
        <v>2026</v>
      </c>
      <c r="N553" s="9">
        <v>0</v>
      </c>
      <c r="O553" s="13">
        <v>42941</v>
      </c>
      <c r="P553" s="13">
        <v>42941</v>
      </c>
    </row>
    <row r="554" spans="1:16" ht="14.25">
      <c r="A554" s="10">
        <v>2017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4</v>
      </c>
      <c r="M554" s="8">
        <v>2021</v>
      </c>
      <c r="N554" s="9">
        <v>0</v>
      </c>
      <c r="O554" s="13">
        <v>42941</v>
      </c>
      <c r="P554" s="13">
        <v>42941</v>
      </c>
    </row>
    <row r="555" spans="1:16" ht="14.25">
      <c r="A555" s="10">
        <v>2017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6</v>
      </c>
      <c r="M555" s="8">
        <v>2023</v>
      </c>
      <c r="N555" s="9">
        <v>0</v>
      </c>
      <c r="O555" s="13">
        <v>42941</v>
      </c>
      <c r="P555" s="13">
        <v>42941</v>
      </c>
    </row>
    <row r="556" spans="1:16" ht="14.25">
      <c r="A556" s="10">
        <v>2017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7</v>
      </c>
      <c r="M556" s="8">
        <v>2024</v>
      </c>
      <c r="N556" s="9">
        <v>0</v>
      </c>
      <c r="O556" s="13">
        <v>42941</v>
      </c>
      <c r="P556" s="13">
        <v>42941</v>
      </c>
    </row>
    <row r="557" spans="1:16" ht="14.25">
      <c r="A557" s="10">
        <v>2017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9</v>
      </c>
      <c r="M557" s="8">
        <v>2026</v>
      </c>
      <c r="N557" s="9">
        <v>0</v>
      </c>
      <c r="O557" s="13">
        <v>42941</v>
      </c>
      <c r="P557" s="13">
        <v>42941</v>
      </c>
    </row>
    <row r="558" spans="1:16" ht="14.25">
      <c r="A558" s="10">
        <v>2017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8</v>
      </c>
      <c r="M558" s="8">
        <v>2025</v>
      </c>
      <c r="N558" s="9">
        <v>0</v>
      </c>
      <c r="O558" s="13">
        <v>42941</v>
      </c>
      <c r="P558" s="13">
        <v>42941</v>
      </c>
    </row>
    <row r="559" spans="1:16" ht="14.25">
      <c r="A559" s="10">
        <v>2017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2</v>
      </c>
      <c r="M559" s="8">
        <v>2019</v>
      </c>
      <c r="N559" s="9">
        <v>0</v>
      </c>
      <c r="O559" s="13">
        <v>42941</v>
      </c>
      <c r="P559" s="13">
        <v>42941</v>
      </c>
    </row>
    <row r="560" spans="1:16" ht="14.25">
      <c r="A560" s="10">
        <v>2017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1</v>
      </c>
      <c r="M560" s="8">
        <v>2018</v>
      </c>
      <c r="N560" s="9">
        <v>53825.25</v>
      </c>
      <c r="O560" s="13">
        <v>42941</v>
      </c>
      <c r="P560" s="13">
        <v>42941</v>
      </c>
    </row>
    <row r="561" spans="1:16" ht="14.25">
      <c r="A561" s="10">
        <v>2017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5</v>
      </c>
      <c r="M561" s="8">
        <v>2022</v>
      </c>
      <c r="N561" s="9">
        <v>0</v>
      </c>
      <c r="O561" s="13">
        <v>42941</v>
      </c>
      <c r="P561" s="13">
        <v>42941</v>
      </c>
    </row>
    <row r="562" spans="1:16" ht="14.25">
      <c r="A562" s="10">
        <v>2017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0</v>
      </c>
      <c r="M562" s="8">
        <v>2017</v>
      </c>
      <c r="N562" s="9">
        <v>1558740</v>
      </c>
      <c r="O562" s="13">
        <v>42941</v>
      </c>
      <c r="P562" s="13">
        <v>42941</v>
      </c>
    </row>
    <row r="563" spans="1:16" ht="14.25">
      <c r="A563" s="10">
        <v>2017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3</v>
      </c>
      <c r="M563" s="8">
        <v>2020</v>
      </c>
      <c r="N563" s="9">
        <v>0</v>
      </c>
      <c r="O563" s="13">
        <v>42941</v>
      </c>
      <c r="P563" s="13">
        <v>42941</v>
      </c>
    </row>
    <row r="564" spans="1:16" ht="14.25">
      <c r="A564" s="10">
        <v>2017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4</v>
      </c>
      <c r="M564" s="8">
        <v>2021</v>
      </c>
      <c r="N564" s="9">
        <v>0</v>
      </c>
      <c r="O564" s="13">
        <v>42941</v>
      </c>
      <c r="P564" s="13">
        <v>42941</v>
      </c>
    </row>
    <row r="565" spans="1:16" ht="14.25">
      <c r="A565" s="10">
        <v>2017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0</v>
      </c>
      <c r="M565" s="8">
        <v>2017</v>
      </c>
      <c r="N565" s="9">
        <v>0</v>
      </c>
      <c r="O565" s="13">
        <v>42941</v>
      </c>
      <c r="P565" s="13">
        <v>42941</v>
      </c>
    </row>
    <row r="566" spans="1:16" ht="14.25">
      <c r="A566" s="10">
        <v>2017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9</v>
      </c>
      <c r="M566" s="8">
        <v>2026</v>
      </c>
      <c r="N566" s="9">
        <v>0</v>
      </c>
      <c r="O566" s="13">
        <v>42941</v>
      </c>
      <c r="P566" s="13">
        <v>42941</v>
      </c>
    </row>
    <row r="567" spans="1:16" ht="14.25">
      <c r="A567" s="10">
        <v>2017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6</v>
      </c>
      <c r="M567" s="8">
        <v>2023</v>
      </c>
      <c r="N567" s="9">
        <v>0</v>
      </c>
      <c r="O567" s="13">
        <v>42941</v>
      </c>
      <c r="P567" s="13">
        <v>42941</v>
      </c>
    </row>
    <row r="568" spans="1:16" ht="14.25">
      <c r="A568" s="10">
        <v>2017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8</v>
      </c>
      <c r="M568" s="8">
        <v>2025</v>
      </c>
      <c r="N568" s="9">
        <v>0</v>
      </c>
      <c r="O568" s="13">
        <v>42941</v>
      </c>
      <c r="P568" s="13">
        <v>42941</v>
      </c>
    </row>
    <row r="569" spans="1:16" ht="14.25">
      <c r="A569" s="10">
        <v>2017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2</v>
      </c>
      <c r="M569" s="8">
        <v>2019</v>
      </c>
      <c r="N569" s="9">
        <v>0</v>
      </c>
      <c r="O569" s="13">
        <v>42941</v>
      </c>
      <c r="P569" s="13">
        <v>42941</v>
      </c>
    </row>
    <row r="570" spans="1:16" ht="14.25">
      <c r="A570" s="10">
        <v>2017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1</v>
      </c>
      <c r="M570" s="8">
        <v>2018</v>
      </c>
      <c r="N570" s="9">
        <v>0</v>
      </c>
      <c r="O570" s="13">
        <v>42941</v>
      </c>
      <c r="P570" s="13">
        <v>42941</v>
      </c>
    </row>
    <row r="571" spans="1:16" ht="14.25">
      <c r="A571" s="10">
        <v>2017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5</v>
      </c>
      <c r="M571" s="8">
        <v>2022</v>
      </c>
      <c r="N571" s="9">
        <v>0</v>
      </c>
      <c r="O571" s="13">
        <v>42941</v>
      </c>
      <c r="P571" s="13">
        <v>42941</v>
      </c>
    </row>
    <row r="572" spans="1:16" ht="14.25">
      <c r="A572" s="10">
        <v>2017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3</v>
      </c>
      <c r="M572" s="8">
        <v>2020</v>
      </c>
      <c r="N572" s="9">
        <v>0</v>
      </c>
      <c r="O572" s="13">
        <v>42941</v>
      </c>
      <c r="P572" s="13">
        <v>42941</v>
      </c>
    </row>
    <row r="573" spans="1:16" ht="14.25">
      <c r="A573" s="10">
        <v>2017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7</v>
      </c>
      <c r="M573" s="8">
        <v>2024</v>
      </c>
      <c r="N573" s="9">
        <v>0</v>
      </c>
      <c r="O573" s="13">
        <v>42941</v>
      </c>
      <c r="P573" s="13">
        <v>42941</v>
      </c>
    </row>
    <row r="574" spans="1:16" ht="14.25">
      <c r="A574" s="10">
        <v>2017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0</v>
      </c>
      <c r="M574" s="8">
        <v>2017</v>
      </c>
      <c r="N574" s="9">
        <v>114262.95</v>
      </c>
      <c r="O574" s="13">
        <v>42941</v>
      </c>
      <c r="P574" s="13">
        <v>42941</v>
      </c>
    </row>
    <row r="575" spans="1:16" ht="14.25">
      <c r="A575" s="10">
        <v>2017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7</v>
      </c>
      <c r="M575" s="8">
        <v>2024</v>
      </c>
      <c r="N575" s="9">
        <v>0</v>
      </c>
      <c r="O575" s="13">
        <v>42941</v>
      </c>
      <c r="P575" s="13">
        <v>42941</v>
      </c>
    </row>
    <row r="576" spans="1:16" ht="14.25">
      <c r="A576" s="10">
        <v>2017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4</v>
      </c>
      <c r="M576" s="8">
        <v>2021</v>
      </c>
      <c r="N576" s="9">
        <v>0</v>
      </c>
      <c r="O576" s="13">
        <v>42941</v>
      </c>
      <c r="P576" s="13">
        <v>42941</v>
      </c>
    </row>
    <row r="577" spans="1:16" ht="14.25">
      <c r="A577" s="10">
        <v>2017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8</v>
      </c>
      <c r="M577" s="8">
        <v>2025</v>
      </c>
      <c r="N577" s="9">
        <v>0</v>
      </c>
      <c r="O577" s="13">
        <v>42941</v>
      </c>
      <c r="P577" s="13">
        <v>42941</v>
      </c>
    </row>
    <row r="578" spans="1:16" ht="14.25">
      <c r="A578" s="10">
        <v>2017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9</v>
      </c>
      <c r="M578" s="8">
        <v>2026</v>
      </c>
      <c r="N578" s="9">
        <v>0</v>
      </c>
      <c r="O578" s="13">
        <v>42941</v>
      </c>
      <c r="P578" s="13">
        <v>42941</v>
      </c>
    </row>
    <row r="579" spans="1:16" ht="14.25">
      <c r="A579" s="10">
        <v>2017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5</v>
      </c>
      <c r="M579" s="8">
        <v>2022</v>
      </c>
      <c r="N579" s="9">
        <v>0</v>
      </c>
      <c r="O579" s="13">
        <v>42941</v>
      </c>
      <c r="P579" s="13">
        <v>42941</v>
      </c>
    </row>
    <row r="580" spans="1:16" ht="14.25">
      <c r="A580" s="10">
        <v>2017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2</v>
      </c>
      <c r="M580" s="8">
        <v>2019</v>
      </c>
      <c r="N580" s="9">
        <v>0</v>
      </c>
      <c r="O580" s="13">
        <v>42941</v>
      </c>
      <c r="P580" s="13">
        <v>42941</v>
      </c>
    </row>
    <row r="581" spans="1:16" ht="14.25">
      <c r="A581" s="10">
        <v>2017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3</v>
      </c>
      <c r="M581" s="8">
        <v>2020</v>
      </c>
      <c r="N581" s="9">
        <v>0</v>
      </c>
      <c r="O581" s="13">
        <v>42941</v>
      </c>
      <c r="P581" s="13">
        <v>42941</v>
      </c>
    </row>
    <row r="582" spans="1:16" ht="14.25">
      <c r="A582" s="10">
        <v>2017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1</v>
      </c>
      <c r="M582" s="8">
        <v>2018</v>
      </c>
      <c r="N582" s="9">
        <v>80580</v>
      </c>
      <c r="O582" s="13">
        <v>42941</v>
      </c>
      <c r="P582" s="13">
        <v>42941</v>
      </c>
    </row>
    <row r="583" spans="1:16" ht="14.25">
      <c r="A583" s="10">
        <v>2017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6</v>
      </c>
      <c r="M583" s="8">
        <v>2023</v>
      </c>
      <c r="N583" s="9">
        <v>0</v>
      </c>
      <c r="O583" s="13">
        <v>42941</v>
      </c>
      <c r="P583" s="13">
        <v>42941</v>
      </c>
    </row>
    <row r="584" spans="1:16" ht="14.25">
      <c r="A584" s="10">
        <v>2017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5</v>
      </c>
      <c r="M584" s="8">
        <v>2022</v>
      </c>
      <c r="N584" s="9">
        <v>0</v>
      </c>
      <c r="O584" s="13">
        <v>42941</v>
      </c>
      <c r="P584" s="13">
        <v>42941</v>
      </c>
    </row>
    <row r="585" spans="1:16" ht="14.25">
      <c r="A585" s="10">
        <v>2017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2</v>
      </c>
      <c r="M585" s="8">
        <v>2019</v>
      </c>
      <c r="N585" s="9">
        <v>0</v>
      </c>
      <c r="O585" s="13">
        <v>42941</v>
      </c>
      <c r="P585" s="13">
        <v>42941</v>
      </c>
    </row>
    <row r="586" spans="1:16" ht="14.25">
      <c r="A586" s="10">
        <v>2017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8</v>
      </c>
      <c r="M586" s="8">
        <v>2025</v>
      </c>
      <c r="N586" s="9">
        <v>0</v>
      </c>
      <c r="O586" s="13">
        <v>42941</v>
      </c>
      <c r="P586" s="13">
        <v>42941</v>
      </c>
    </row>
    <row r="587" spans="1:16" ht="14.25">
      <c r="A587" s="10">
        <v>2017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7</v>
      </c>
      <c r="M587" s="8">
        <v>2024</v>
      </c>
      <c r="N587" s="9">
        <v>0</v>
      </c>
      <c r="O587" s="13">
        <v>42941</v>
      </c>
      <c r="P587" s="13">
        <v>42941</v>
      </c>
    </row>
    <row r="588" spans="1:16" ht="14.25">
      <c r="A588" s="10">
        <v>2017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4</v>
      </c>
      <c r="M588" s="8">
        <v>2021</v>
      </c>
      <c r="N588" s="9">
        <v>0</v>
      </c>
      <c r="O588" s="13">
        <v>42941</v>
      </c>
      <c r="P588" s="13">
        <v>42941</v>
      </c>
    </row>
    <row r="589" spans="1:16" ht="14.25">
      <c r="A589" s="10">
        <v>2017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0</v>
      </c>
      <c r="M589" s="8">
        <v>2017</v>
      </c>
      <c r="N589" s="9">
        <v>0</v>
      </c>
      <c r="O589" s="13">
        <v>42941</v>
      </c>
      <c r="P589" s="13">
        <v>42941</v>
      </c>
    </row>
    <row r="590" spans="1:16" ht="14.25">
      <c r="A590" s="10">
        <v>2017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3</v>
      </c>
      <c r="M590" s="8">
        <v>2020</v>
      </c>
      <c r="N590" s="9">
        <v>0</v>
      </c>
      <c r="O590" s="13">
        <v>42941</v>
      </c>
      <c r="P590" s="13">
        <v>42941</v>
      </c>
    </row>
    <row r="591" spans="1:16" ht="14.25">
      <c r="A591" s="10">
        <v>2017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1</v>
      </c>
      <c r="M591" s="8">
        <v>2018</v>
      </c>
      <c r="N591" s="9">
        <v>0</v>
      </c>
      <c r="O591" s="13">
        <v>42941</v>
      </c>
      <c r="P591" s="13">
        <v>42941</v>
      </c>
    </row>
    <row r="592" spans="1:16" ht="14.25">
      <c r="A592" s="10">
        <v>2017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9</v>
      </c>
      <c r="M592" s="8">
        <v>2026</v>
      </c>
      <c r="N592" s="9">
        <v>0</v>
      </c>
      <c r="O592" s="13">
        <v>42941</v>
      </c>
      <c r="P592" s="13">
        <v>42941</v>
      </c>
    </row>
    <row r="593" spans="1:16" ht="14.25">
      <c r="A593" s="10">
        <v>2017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6</v>
      </c>
      <c r="M593" s="8">
        <v>2023</v>
      </c>
      <c r="N593" s="9">
        <v>0</v>
      </c>
      <c r="O593" s="13">
        <v>42941</v>
      </c>
      <c r="P593" s="13">
        <v>42941</v>
      </c>
    </row>
    <row r="594" spans="1:16" ht="14.25">
      <c r="A594" s="10">
        <v>2017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7</v>
      </c>
      <c r="M594" s="8">
        <v>2024</v>
      </c>
      <c r="N594" s="9">
        <v>121000</v>
      </c>
      <c r="O594" s="13">
        <v>42941</v>
      </c>
      <c r="P594" s="13">
        <v>42941</v>
      </c>
    </row>
    <row r="595" spans="1:16" ht="14.25">
      <c r="A595" s="10">
        <v>2017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1</v>
      </c>
      <c r="M595" s="8">
        <v>2018</v>
      </c>
      <c r="N595" s="9">
        <v>450000</v>
      </c>
      <c r="O595" s="13">
        <v>42941</v>
      </c>
      <c r="P595" s="13">
        <v>42941</v>
      </c>
    </row>
    <row r="596" spans="1:16" ht="14.25">
      <c r="A596" s="10">
        <v>2017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2</v>
      </c>
      <c r="M596" s="8">
        <v>2019</v>
      </c>
      <c r="N596" s="9">
        <v>442000</v>
      </c>
      <c r="O596" s="13">
        <v>42941</v>
      </c>
      <c r="P596" s="13">
        <v>42941</v>
      </c>
    </row>
    <row r="597" spans="1:16" ht="14.25">
      <c r="A597" s="10">
        <v>2017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0</v>
      </c>
      <c r="M597" s="8">
        <v>2017</v>
      </c>
      <c r="N597" s="9">
        <v>145000</v>
      </c>
      <c r="O597" s="13">
        <v>42941</v>
      </c>
      <c r="P597" s="13">
        <v>42941</v>
      </c>
    </row>
    <row r="598" spans="1:16" ht="14.25">
      <c r="A598" s="10">
        <v>2017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6</v>
      </c>
      <c r="M598" s="8">
        <v>2023</v>
      </c>
      <c r="N598" s="9">
        <v>168000</v>
      </c>
      <c r="O598" s="13">
        <v>42941</v>
      </c>
      <c r="P598" s="13">
        <v>42941</v>
      </c>
    </row>
    <row r="599" spans="1:16" ht="14.25">
      <c r="A599" s="10">
        <v>2017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8</v>
      </c>
      <c r="M599" s="8">
        <v>2025</v>
      </c>
      <c r="N599" s="9">
        <v>58000</v>
      </c>
      <c r="O599" s="13">
        <v>42941</v>
      </c>
      <c r="P599" s="13">
        <v>42941</v>
      </c>
    </row>
    <row r="600" spans="1:16" ht="14.25">
      <c r="A600" s="10">
        <v>2017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3</v>
      </c>
      <c r="M600" s="8">
        <v>2020</v>
      </c>
      <c r="N600" s="9">
        <v>395000</v>
      </c>
      <c r="O600" s="13">
        <v>42941</v>
      </c>
      <c r="P600" s="13">
        <v>42941</v>
      </c>
    </row>
    <row r="601" spans="1:16" ht="14.25">
      <c r="A601" s="10">
        <v>2017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4</v>
      </c>
      <c r="M601" s="8">
        <v>2021</v>
      </c>
      <c r="N601" s="9">
        <v>316000</v>
      </c>
      <c r="O601" s="13">
        <v>42941</v>
      </c>
      <c r="P601" s="13">
        <v>42941</v>
      </c>
    </row>
    <row r="602" spans="1:16" ht="14.25">
      <c r="A602" s="10">
        <v>2017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5</v>
      </c>
      <c r="M602" s="8">
        <v>2022</v>
      </c>
      <c r="N602" s="9">
        <v>258000</v>
      </c>
      <c r="O602" s="13">
        <v>42941</v>
      </c>
      <c r="P602" s="13">
        <v>42941</v>
      </c>
    </row>
    <row r="603" spans="1:16" ht="14.25">
      <c r="A603" s="10">
        <v>2017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9</v>
      </c>
      <c r="M603" s="8">
        <v>2026</v>
      </c>
      <c r="N603" s="9">
        <v>0</v>
      </c>
      <c r="O603" s="13">
        <v>42941</v>
      </c>
      <c r="P603" s="13">
        <v>42941</v>
      </c>
    </row>
    <row r="604" spans="1:16" ht="14.25">
      <c r="A604" s="10">
        <v>2017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2</v>
      </c>
      <c r="M604" s="8">
        <v>2019</v>
      </c>
      <c r="N604" s="9">
        <v>1375</v>
      </c>
      <c r="O604" s="13">
        <v>42941</v>
      </c>
      <c r="P604" s="13">
        <v>42941</v>
      </c>
    </row>
    <row r="605" spans="1:16" ht="14.25">
      <c r="A605" s="10">
        <v>2017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3</v>
      </c>
      <c r="M605" s="8">
        <v>2020</v>
      </c>
      <c r="N605" s="9">
        <v>1375</v>
      </c>
      <c r="O605" s="13">
        <v>42941</v>
      </c>
      <c r="P605" s="13">
        <v>42941</v>
      </c>
    </row>
    <row r="606" spans="1:16" ht="14.25">
      <c r="A606" s="10">
        <v>2017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9</v>
      </c>
      <c r="M606" s="8">
        <v>2026</v>
      </c>
      <c r="N606" s="9">
        <v>0</v>
      </c>
      <c r="O606" s="13">
        <v>42941</v>
      </c>
      <c r="P606" s="13">
        <v>42941</v>
      </c>
    </row>
    <row r="607" spans="1:16" ht="14.25">
      <c r="A607" s="10">
        <v>2017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5</v>
      </c>
      <c r="M607" s="8">
        <v>2022</v>
      </c>
      <c r="N607" s="9">
        <v>0</v>
      </c>
      <c r="O607" s="13">
        <v>42941</v>
      </c>
      <c r="P607" s="13">
        <v>42941</v>
      </c>
    </row>
    <row r="608" spans="1:16" ht="14.25">
      <c r="A608" s="10">
        <v>2017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1</v>
      </c>
      <c r="M608" s="8">
        <v>2018</v>
      </c>
      <c r="N608" s="9">
        <v>95572.25</v>
      </c>
      <c r="O608" s="13">
        <v>42941</v>
      </c>
      <c r="P608" s="13">
        <v>42941</v>
      </c>
    </row>
    <row r="609" spans="1:16" ht="14.25">
      <c r="A609" s="10">
        <v>2017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4</v>
      </c>
      <c r="M609" s="8">
        <v>2021</v>
      </c>
      <c r="N609" s="9">
        <v>0</v>
      </c>
      <c r="O609" s="13">
        <v>42941</v>
      </c>
      <c r="P609" s="13">
        <v>42941</v>
      </c>
    </row>
    <row r="610" spans="1:16" ht="14.25">
      <c r="A610" s="10">
        <v>2017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7</v>
      </c>
      <c r="M610" s="8">
        <v>2024</v>
      </c>
      <c r="N610" s="9">
        <v>0</v>
      </c>
      <c r="O610" s="13">
        <v>42941</v>
      </c>
      <c r="P610" s="13">
        <v>42941</v>
      </c>
    </row>
    <row r="611" spans="1:16" ht="14.25">
      <c r="A611" s="10">
        <v>2017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0</v>
      </c>
      <c r="M611" s="8">
        <v>2017</v>
      </c>
      <c r="N611" s="9">
        <v>136490</v>
      </c>
      <c r="O611" s="13">
        <v>42941</v>
      </c>
      <c r="P611" s="13">
        <v>42941</v>
      </c>
    </row>
    <row r="612" spans="1:16" ht="14.25">
      <c r="A612" s="10">
        <v>2017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8</v>
      </c>
      <c r="M612" s="8">
        <v>2025</v>
      </c>
      <c r="N612" s="9">
        <v>0</v>
      </c>
      <c r="O612" s="13">
        <v>42941</v>
      </c>
      <c r="P612" s="13">
        <v>42941</v>
      </c>
    </row>
    <row r="613" spans="1:16" ht="14.25">
      <c r="A613" s="10">
        <v>2017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6</v>
      </c>
      <c r="M613" s="8">
        <v>2023</v>
      </c>
      <c r="N613" s="9">
        <v>0</v>
      </c>
      <c r="O613" s="13">
        <v>42941</v>
      </c>
      <c r="P613" s="13">
        <v>42941</v>
      </c>
    </row>
    <row r="614" spans="1:16" ht="14.25">
      <c r="A614" s="10">
        <v>2017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1</v>
      </c>
      <c r="M614" s="8">
        <v>2018</v>
      </c>
      <c r="N614" s="9">
        <v>6000000</v>
      </c>
      <c r="O614" s="13">
        <v>42941</v>
      </c>
      <c r="P614" s="13">
        <v>42941</v>
      </c>
    </row>
    <row r="615" spans="1:16" ht="14.25">
      <c r="A615" s="10">
        <v>2017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3</v>
      </c>
      <c r="M615" s="8">
        <v>2020</v>
      </c>
      <c r="N615" s="9">
        <v>1100000</v>
      </c>
      <c r="O615" s="13">
        <v>42941</v>
      </c>
      <c r="P615" s="13">
        <v>42941</v>
      </c>
    </row>
    <row r="616" spans="1:16" ht="14.25">
      <c r="A616" s="10">
        <v>2017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0</v>
      </c>
      <c r="M616" s="8">
        <v>2017</v>
      </c>
      <c r="N616" s="9">
        <v>6767646.19</v>
      </c>
      <c r="O616" s="13">
        <v>42941</v>
      </c>
      <c r="P616" s="13">
        <v>42941</v>
      </c>
    </row>
    <row r="617" spans="1:16" ht="14.25">
      <c r="A617" s="10">
        <v>2017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2</v>
      </c>
      <c r="M617" s="8">
        <v>2019</v>
      </c>
      <c r="N617" s="9">
        <v>1150000</v>
      </c>
      <c r="O617" s="13">
        <v>42941</v>
      </c>
      <c r="P617" s="13">
        <v>42941</v>
      </c>
    </row>
    <row r="618" spans="1:16" ht="14.25">
      <c r="A618" s="10">
        <v>2017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9</v>
      </c>
      <c r="M618" s="8">
        <v>2026</v>
      </c>
      <c r="N618" s="9">
        <v>1403924</v>
      </c>
      <c r="O618" s="13">
        <v>42941</v>
      </c>
      <c r="P618" s="13">
        <v>42941</v>
      </c>
    </row>
    <row r="619" spans="1:16" ht="14.25">
      <c r="A619" s="10">
        <v>2017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7</v>
      </c>
      <c r="M619" s="8">
        <v>2024</v>
      </c>
      <c r="N619" s="9">
        <v>800000</v>
      </c>
      <c r="O619" s="13">
        <v>42941</v>
      </c>
      <c r="P619" s="13">
        <v>42941</v>
      </c>
    </row>
    <row r="620" spans="1:16" ht="14.25">
      <c r="A620" s="10">
        <v>2017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8</v>
      </c>
      <c r="M620" s="8">
        <v>2025</v>
      </c>
      <c r="N620" s="9">
        <v>943543</v>
      </c>
      <c r="O620" s="13">
        <v>42941</v>
      </c>
      <c r="P620" s="13">
        <v>42941</v>
      </c>
    </row>
    <row r="621" spans="1:16" ht="14.25">
      <c r="A621" s="10">
        <v>2017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6</v>
      </c>
      <c r="M621" s="8">
        <v>2023</v>
      </c>
      <c r="N621" s="9">
        <v>800000</v>
      </c>
      <c r="O621" s="13">
        <v>42941</v>
      </c>
      <c r="P621" s="13">
        <v>42941</v>
      </c>
    </row>
    <row r="622" spans="1:16" ht="14.25">
      <c r="A622" s="10">
        <v>2017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5</v>
      </c>
      <c r="M622" s="8">
        <v>2022</v>
      </c>
      <c r="N622" s="9">
        <v>1100000</v>
      </c>
      <c r="O622" s="13">
        <v>42941</v>
      </c>
      <c r="P622" s="13">
        <v>42941</v>
      </c>
    </row>
    <row r="623" spans="1:16" ht="14.25">
      <c r="A623" s="10">
        <v>2017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4</v>
      </c>
      <c r="M623" s="8">
        <v>2021</v>
      </c>
      <c r="N623" s="9">
        <v>1150000</v>
      </c>
      <c r="O623" s="13">
        <v>42941</v>
      </c>
      <c r="P623" s="13">
        <v>42941</v>
      </c>
    </row>
    <row r="624" spans="1:16" ht="14.25">
      <c r="A624" s="10">
        <v>2017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480</v>
      </c>
      <c r="K624" s="12" t="b">
        <v>1</v>
      </c>
      <c r="L624" s="12">
        <v>8</v>
      </c>
      <c r="M624" s="8">
        <v>2025</v>
      </c>
      <c r="N624" s="9">
        <v>0</v>
      </c>
      <c r="O624" s="13">
        <v>42941</v>
      </c>
      <c r="P624" s="13">
        <v>42941</v>
      </c>
    </row>
    <row r="625" spans="1:16" ht="14.25">
      <c r="A625" s="10">
        <v>2017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480</v>
      </c>
      <c r="K625" s="12" t="b">
        <v>1</v>
      </c>
      <c r="L625" s="12">
        <v>1</v>
      </c>
      <c r="M625" s="8">
        <v>2018</v>
      </c>
      <c r="N625" s="9">
        <v>0</v>
      </c>
      <c r="O625" s="13">
        <v>42941</v>
      </c>
      <c r="P625" s="13">
        <v>42941</v>
      </c>
    </row>
    <row r="626" spans="1:16" ht="14.25">
      <c r="A626" s="10">
        <v>2017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480</v>
      </c>
      <c r="K626" s="12" t="b">
        <v>1</v>
      </c>
      <c r="L626" s="12">
        <v>5</v>
      </c>
      <c r="M626" s="8">
        <v>2022</v>
      </c>
      <c r="N626" s="9">
        <v>0</v>
      </c>
      <c r="O626" s="13">
        <v>42941</v>
      </c>
      <c r="P626" s="13">
        <v>42941</v>
      </c>
    </row>
    <row r="627" spans="1:16" ht="14.25">
      <c r="A627" s="10">
        <v>2017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480</v>
      </c>
      <c r="K627" s="12" t="b">
        <v>1</v>
      </c>
      <c r="L627" s="12">
        <v>7</v>
      </c>
      <c r="M627" s="8">
        <v>2024</v>
      </c>
      <c r="N627" s="9">
        <v>0</v>
      </c>
      <c r="O627" s="13">
        <v>42941</v>
      </c>
      <c r="P627" s="13">
        <v>42941</v>
      </c>
    </row>
    <row r="628" spans="1:16" ht="14.25">
      <c r="A628" s="10">
        <v>2017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480</v>
      </c>
      <c r="K628" s="12" t="b">
        <v>1</v>
      </c>
      <c r="L628" s="12">
        <v>6</v>
      </c>
      <c r="M628" s="8">
        <v>2023</v>
      </c>
      <c r="N628" s="9">
        <v>0</v>
      </c>
      <c r="O628" s="13">
        <v>42941</v>
      </c>
      <c r="P628" s="13">
        <v>42941</v>
      </c>
    </row>
    <row r="629" spans="1:16" ht="14.25">
      <c r="A629" s="10">
        <v>2017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480</v>
      </c>
      <c r="K629" s="12" t="b">
        <v>1</v>
      </c>
      <c r="L629" s="12">
        <v>3</v>
      </c>
      <c r="M629" s="8">
        <v>2020</v>
      </c>
      <c r="N629" s="9">
        <v>0</v>
      </c>
      <c r="O629" s="13">
        <v>42941</v>
      </c>
      <c r="P629" s="13">
        <v>42941</v>
      </c>
    </row>
    <row r="630" spans="1:16" ht="14.25">
      <c r="A630" s="10">
        <v>2017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480</v>
      </c>
      <c r="K630" s="12" t="b">
        <v>1</v>
      </c>
      <c r="L630" s="12">
        <v>4</v>
      </c>
      <c r="M630" s="8">
        <v>2021</v>
      </c>
      <c r="N630" s="9">
        <v>0</v>
      </c>
      <c r="O630" s="13">
        <v>42941</v>
      </c>
      <c r="P630" s="13">
        <v>42941</v>
      </c>
    </row>
    <row r="631" spans="1:16" ht="14.25">
      <c r="A631" s="10">
        <v>2017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480</v>
      </c>
      <c r="K631" s="12" t="b">
        <v>1</v>
      </c>
      <c r="L631" s="12">
        <v>2</v>
      </c>
      <c r="M631" s="8">
        <v>2019</v>
      </c>
      <c r="N631" s="9">
        <v>0</v>
      </c>
      <c r="O631" s="13">
        <v>42941</v>
      </c>
      <c r="P631" s="13">
        <v>42941</v>
      </c>
    </row>
    <row r="632" spans="1:16" ht="14.25">
      <c r="A632" s="10">
        <v>2017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480</v>
      </c>
      <c r="K632" s="12" t="b">
        <v>1</v>
      </c>
      <c r="L632" s="12">
        <v>9</v>
      </c>
      <c r="M632" s="8">
        <v>2026</v>
      </c>
      <c r="N632" s="9">
        <v>0</v>
      </c>
      <c r="O632" s="13">
        <v>42941</v>
      </c>
      <c r="P632" s="13">
        <v>42941</v>
      </c>
    </row>
    <row r="633" spans="1:16" ht="14.25">
      <c r="A633" s="10">
        <v>2017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480</v>
      </c>
      <c r="K633" s="12" t="b">
        <v>1</v>
      </c>
      <c r="L633" s="12">
        <v>0</v>
      </c>
      <c r="M633" s="8">
        <v>2017</v>
      </c>
      <c r="N633" s="9">
        <v>0</v>
      </c>
      <c r="O633" s="13">
        <v>42941</v>
      </c>
      <c r="P633" s="13">
        <v>42941</v>
      </c>
    </row>
    <row r="634" spans="1:16" ht="14.25">
      <c r="A634" s="10">
        <v>2017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9</v>
      </c>
      <c r="M634" s="8">
        <v>2026</v>
      </c>
      <c r="N634" s="9">
        <v>0</v>
      </c>
      <c r="O634" s="13">
        <v>42941</v>
      </c>
      <c r="P634" s="13">
        <v>42941</v>
      </c>
    </row>
    <row r="635" spans="1:16" ht="14.25">
      <c r="A635" s="10">
        <v>2017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8</v>
      </c>
      <c r="M635" s="8">
        <v>2025</v>
      </c>
      <c r="N635" s="9">
        <v>0</v>
      </c>
      <c r="O635" s="13">
        <v>42941</v>
      </c>
      <c r="P635" s="13">
        <v>42941</v>
      </c>
    </row>
    <row r="636" spans="1:16" ht="14.25">
      <c r="A636" s="10">
        <v>2017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1</v>
      </c>
      <c r="M636" s="8">
        <v>2018</v>
      </c>
      <c r="N636" s="9">
        <v>0</v>
      </c>
      <c r="O636" s="13">
        <v>42941</v>
      </c>
      <c r="P636" s="13">
        <v>42941</v>
      </c>
    </row>
    <row r="637" spans="1:16" ht="14.25">
      <c r="A637" s="10">
        <v>2017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2</v>
      </c>
      <c r="M637" s="8">
        <v>2019</v>
      </c>
      <c r="N637" s="9">
        <v>0</v>
      </c>
      <c r="O637" s="13">
        <v>42941</v>
      </c>
      <c r="P637" s="13">
        <v>42941</v>
      </c>
    </row>
    <row r="638" spans="1:16" ht="14.25">
      <c r="A638" s="10">
        <v>2017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4</v>
      </c>
      <c r="M638" s="8">
        <v>2021</v>
      </c>
      <c r="N638" s="9">
        <v>0</v>
      </c>
      <c r="O638" s="13">
        <v>42941</v>
      </c>
      <c r="P638" s="13">
        <v>42941</v>
      </c>
    </row>
    <row r="639" spans="1:16" ht="14.25">
      <c r="A639" s="10">
        <v>2017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7</v>
      </c>
      <c r="M639" s="8">
        <v>2024</v>
      </c>
      <c r="N639" s="9">
        <v>0</v>
      </c>
      <c r="O639" s="13">
        <v>42941</v>
      </c>
      <c r="P639" s="13">
        <v>42941</v>
      </c>
    </row>
    <row r="640" spans="1:16" ht="14.25">
      <c r="A640" s="10">
        <v>2017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5</v>
      </c>
      <c r="M640" s="8">
        <v>2022</v>
      </c>
      <c r="N640" s="9">
        <v>0</v>
      </c>
      <c r="O640" s="13">
        <v>42941</v>
      </c>
      <c r="P640" s="13">
        <v>42941</v>
      </c>
    </row>
    <row r="641" spans="1:16" ht="14.25">
      <c r="A641" s="10">
        <v>2017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6</v>
      </c>
      <c r="M641" s="8">
        <v>2023</v>
      </c>
      <c r="N641" s="9">
        <v>0</v>
      </c>
      <c r="O641" s="13">
        <v>42941</v>
      </c>
      <c r="P641" s="13">
        <v>42941</v>
      </c>
    </row>
    <row r="642" spans="1:16" ht="14.25">
      <c r="A642" s="10">
        <v>2017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3</v>
      </c>
      <c r="M642" s="8">
        <v>2020</v>
      </c>
      <c r="N642" s="9">
        <v>0</v>
      </c>
      <c r="O642" s="13">
        <v>42941</v>
      </c>
      <c r="P642" s="13">
        <v>42941</v>
      </c>
    </row>
    <row r="643" spans="1:16" ht="14.25">
      <c r="A643" s="10">
        <v>2017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0</v>
      </c>
      <c r="M643" s="8">
        <v>2017</v>
      </c>
      <c r="N643" s="9">
        <v>0</v>
      </c>
      <c r="O643" s="13">
        <v>42941</v>
      </c>
      <c r="P643" s="13">
        <v>42941</v>
      </c>
    </row>
    <row r="644" spans="1:16" ht="14.25">
      <c r="A644" s="10">
        <v>2017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7</v>
      </c>
      <c r="M644" s="8">
        <v>2024</v>
      </c>
      <c r="N644" s="9">
        <v>0</v>
      </c>
      <c r="O644" s="13">
        <v>42941</v>
      </c>
      <c r="P644" s="13">
        <v>42941</v>
      </c>
    </row>
    <row r="645" spans="1:16" ht="14.25">
      <c r="A645" s="10">
        <v>2017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5</v>
      </c>
      <c r="M645" s="8">
        <v>2022</v>
      </c>
      <c r="N645" s="9">
        <v>0</v>
      </c>
      <c r="O645" s="13">
        <v>42941</v>
      </c>
      <c r="P645" s="13">
        <v>42941</v>
      </c>
    </row>
    <row r="646" spans="1:16" ht="14.25">
      <c r="A646" s="10">
        <v>2017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0</v>
      </c>
      <c r="M646" s="8">
        <v>2017</v>
      </c>
      <c r="N646" s="9">
        <v>28844</v>
      </c>
      <c r="O646" s="13">
        <v>42941</v>
      </c>
      <c r="P646" s="13">
        <v>42941</v>
      </c>
    </row>
    <row r="647" spans="1:16" ht="14.25">
      <c r="A647" s="10">
        <v>2017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3</v>
      </c>
      <c r="M647" s="8">
        <v>2020</v>
      </c>
      <c r="N647" s="9">
        <v>0</v>
      </c>
      <c r="O647" s="13">
        <v>42941</v>
      </c>
      <c r="P647" s="13">
        <v>42941</v>
      </c>
    </row>
    <row r="648" spans="1:16" ht="14.25">
      <c r="A648" s="10">
        <v>2017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8</v>
      </c>
      <c r="M648" s="8">
        <v>2025</v>
      </c>
      <c r="N648" s="9">
        <v>0</v>
      </c>
      <c r="O648" s="13">
        <v>42941</v>
      </c>
      <c r="P648" s="13">
        <v>42941</v>
      </c>
    </row>
    <row r="649" spans="1:16" ht="14.25">
      <c r="A649" s="10">
        <v>2017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9</v>
      </c>
      <c r="M649" s="8">
        <v>2026</v>
      </c>
      <c r="N649" s="9">
        <v>0</v>
      </c>
      <c r="O649" s="13">
        <v>42941</v>
      </c>
      <c r="P649" s="13">
        <v>42941</v>
      </c>
    </row>
    <row r="650" spans="1:16" ht="14.25">
      <c r="A650" s="10">
        <v>2017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6</v>
      </c>
      <c r="M650" s="8">
        <v>2023</v>
      </c>
      <c r="N650" s="9">
        <v>0</v>
      </c>
      <c r="O650" s="13">
        <v>42941</v>
      </c>
      <c r="P650" s="13">
        <v>42941</v>
      </c>
    </row>
    <row r="651" spans="1:16" ht="14.25">
      <c r="A651" s="10">
        <v>2017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4</v>
      </c>
      <c r="M651" s="8">
        <v>2021</v>
      </c>
      <c r="N651" s="9">
        <v>0</v>
      </c>
      <c r="O651" s="13">
        <v>42941</v>
      </c>
      <c r="P651" s="13">
        <v>42941</v>
      </c>
    </row>
    <row r="652" spans="1:16" ht="14.25">
      <c r="A652" s="10">
        <v>2017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1</v>
      </c>
      <c r="M652" s="8">
        <v>2018</v>
      </c>
      <c r="N652" s="9">
        <v>0</v>
      </c>
      <c r="O652" s="13">
        <v>42941</v>
      </c>
      <c r="P652" s="13">
        <v>42941</v>
      </c>
    </row>
    <row r="653" spans="1:16" ht="14.25">
      <c r="A653" s="10">
        <v>2017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2</v>
      </c>
      <c r="M653" s="8">
        <v>2019</v>
      </c>
      <c r="N653" s="9">
        <v>0</v>
      </c>
      <c r="O653" s="13">
        <v>42941</v>
      </c>
      <c r="P653" s="13">
        <v>42941</v>
      </c>
    </row>
    <row r="654" spans="1:16" ht="14.25">
      <c r="A654" s="10">
        <v>2017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481</v>
      </c>
      <c r="K654" s="12" t="b">
        <v>1</v>
      </c>
      <c r="L654" s="12">
        <v>1</v>
      </c>
      <c r="M654" s="8">
        <v>2018</v>
      </c>
      <c r="N654" s="9">
        <v>0</v>
      </c>
      <c r="O654" s="13">
        <v>42941</v>
      </c>
      <c r="P654" s="13">
        <v>42941</v>
      </c>
    </row>
    <row r="655" spans="1:16" ht="14.25">
      <c r="A655" s="10">
        <v>2017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481</v>
      </c>
      <c r="K655" s="12" t="b">
        <v>1</v>
      </c>
      <c r="L655" s="12">
        <v>7</v>
      </c>
      <c r="M655" s="8">
        <v>2024</v>
      </c>
      <c r="N655" s="9">
        <v>0</v>
      </c>
      <c r="O655" s="13">
        <v>42941</v>
      </c>
      <c r="P655" s="13">
        <v>42941</v>
      </c>
    </row>
    <row r="656" spans="1:16" ht="14.25">
      <c r="A656" s="10">
        <v>2017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481</v>
      </c>
      <c r="K656" s="12" t="b">
        <v>1</v>
      </c>
      <c r="L656" s="12">
        <v>0</v>
      </c>
      <c r="M656" s="8">
        <v>2017</v>
      </c>
      <c r="N656" s="9">
        <v>0</v>
      </c>
      <c r="O656" s="13">
        <v>42941</v>
      </c>
      <c r="P656" s="13">
        <v>42941</v>
      </c>
    </row>
    <row r="657" spans="1:16" ht="14.25">
      <c r="A657" s="10">
        <v>2017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481</v>
      </c>
      <c r="K657" s="12" t="b">
        <v>1</v>
      </c>
      <c r="L657" s="12">
        <v>8</v>
      </c>
      <c r="M657" s="8">
        <v>2025</v>
      </c>
      <c r="N657" s="9">
        <v>0</v>
      </c>
      <c r="O657" s="13">
        <v>42941</v>
      </c>
      <c r="P657" s="13">
        <v>42941</v>
      </c>
    </row>
    <row r="658" spans="1:16" ht="14.25">
      <c r="A658" s="10">
        <v>2017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481</v>
      </c>
      <c r="K658" s="12" t="b">
        <v>1</v>
      </c>
      <c r="L658" s="12">
        <v>5</v>
      </c>
      <c r="M658" s="8">
        <v>2022</v>
      </c>
      <c r="N658" s="9">
        <v>0</v>
      </c>
      <c r="O658" s="13">
        <v>42941</v>
      </c>
      <c r="P658" s="13">
        <v>42941</v>
      </c>
    </row>
    <row r="659" spans="1:16" ht="14.25">
      <c r="A659" s="10">
        <v>2017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481</v>
      </c>
      <c r="K659" s="12" t="b">
        <v>1</v>
      </c>
      <c r="L659" s="12">
        <v>4</v>
      </c>
      <c r="M659" s="8">
        <v>2021</v>
      </c>
      <c r="N659" s="9">
        <v>0</v>
      </c>
      <c r="O659" s="13">
        <v>42941</v>
      </c>
      <c r="P659" s="13">
        <v>42941</v>
      </c>
    </row>
    <row r="660" spans="1:16" ht="14.25">
      <c r="A660" s="10">
        <v>2017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481</v>
      </c>
      <c r="K660" s="12" t="b">
        <v>1</v>
      </c>
      <c r="L660" s="12">
        <v>6</v>
      </c>
      <c r="M660" s="8">
        <v>2023</v>
      </c>
      <c r="N660" s="9">
        <v>0</v>
      </c>
      <c r="O660" s="13">
        <v>42941</v>
      </c>
      <c r="P660" s="13">
        <v>42941</v>
      </c>
    </row>
    <row r="661" spans="1:16" ht="14.25">
      <c r="A661" s="10">
        <v>2017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481</v>
      </c>
      <c r="K661" s="12" t="b">
        <v>1</v>
      </c>
      <c r="L661" s="12">
        <v>9</v>
      </c>
      <c r="M661" s="8">
        <v>2026</v>
      </c>
      <c r="N661" s="9">
        <v>0</v>
      </c>
      <c r="O661" s="13">
        <v>42941</v>
      </c>
      <c r="P661" s="13">
        <v>42941</v>
      </c>
    </row>
    <row r="662" spans="1:16" ht="14.25">
      <c r="A662" s="10">
        <v>2017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481</v>
      </c>
      <c r="K662" s="12" t="b">
        <v>1</v>
      </c>
      <c r="L662" s="12">
        <v>2</v>
      </c>
      <c r="M662" s="8">
        <v>2019</v>
      </c>
      <c r="N662" s="9">
        <v>0</v>
      </c>
      <c r="O662" s="13">
        <v>42941</v>
      </c>
      <c r="P662" s="13">
        <v>42941</v>
      </c>
    </row>
    <row r="663" spans="1:16" ht="14.25">
      <c r="A663" s="10">
        <v>2017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481</v>
      </c>
      <c r="K663" s="12" t="b">
        <v>1</v>
      </c>
      <c r="L663" s="12">
        <v>3</v>
      </c>
      <c r="M663" s="8">
        <v>2020</v>
      </c>
      <c r="N663" s="9">
        <v>0</v>
      </c>
      <c r="O663" s="13">
        <v>42941</v>
      </c>
      <c r="P663" s="13">
        <v>42941</v>
      </c>
    </row>
    <row r="664" spans="1:16" ht="14.25">
      <c r="A664" s="10">
        <v>2017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4</v>
      </c>
      <c r="M664" s="8">
        <v>2021</v>
      </c>
      <c r="N664" s="9">
        <v>0</v>
      </c>
      <c r="O664" s="13">
        <v>42941</v>
      </c>
      <c r="P664" s="13">
        <v>42941</v>
      </c>
    </row>
    <row r="665" spans="1:16" ht="14.25">
      <c r="A665" s="10">
        <v>2017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8</v>
      </c>
      <c r="M665" s="8">
        <v>2025</v>
      </c>
      <c r="N665" s="9">
        <v>0</v>
      </c>
      <c r="O665" s="13">
        <v>42941</v>
      </c>
      <c r="P665" s="13">
        <v>42941</v>
      </c>
    </row>
    <row r="666" spans="1:16" ht="14.25">
      <c r="A666" s="10">
        <v>2017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7</v>
      </c>
      <c r="M666" s="8">
        <v>2024</v>
      </c>
      <c r="N666" s="9">
        <v>0</v>
      </c>
      <c r="O666" s="13">
        <v>42941</v>
      </c>
      <c r="P666" s="13">
        <v>42941</v>
      </c>
    </row>
    <row r="667" spans="1:16" ht="14.25">
      <c r="A667" s="10">
        <v>2017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5</v>
      </c>
      <c r="M667" s="8">
        <v>2022</v>
      </c>
      <c r="N667" s="9">
        <v>0</v>
      </c>
      <c r="O667" s="13">
        <v>42941</v>
      </c>
      <c r="P667" s="13">
        <v>42941</v>
      </c>
    </row>
    <row r="668" spans="1:16" ht="14.25">
      <c r="A668" s="10">
        <v>2017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1</v>
      </c>
      <c r="M668" s="8">
        <v>2018</v>
      </c>
      <c r="N668" s="9">
        <v>0</v>
      </c>
      <c r="O668" s="13">
        <v>42941</v>
      </c>
      <c r="P668" s="13">
        <v>42941</v>
      </c>
    </row>
    <row r="669" spans="1:16" ht="14.25">
      <c r="A669" s="10">
        <v>2017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3</v>
      </c>
      <c r="M669" s="8">
        <v>2020</v>
      </c>
      <c r="N669" s="9">
        <v>0</v>
      </c>
      <c r="O669" s="13">
        <v>42941</v>
      </c>
      <c r="P669" s="13">
        <v>42941</v>
      </c>
    </row>
    <row r="670" spans="1:16" ht="14.25">
      <c r="A670" s="10">
        <v>2017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0</v>
      </c>
      <c r="M670" s="8">
        <v>2017</v>
      </c>
      <c r="N670" s="9">
        <v>0</v>
      </c>
      <c r="O670" s="13">
        <v>42941</v>
      </c>
      <c r="P670" s="13">
        <v>42941</v>
      </c>
    </row>
    <row r="671" spans="1:16" ht="14.25">
      <c r="A671" s="10">
        <v>2017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6</v>
      </c>
      <c r="M671" s="8">
        <v>2023</v>
      </c>
      <c r="N671" s="9">
        <v>0</v>
      </c>
      <c r="O671" s="13">
        <v>42941</v>
      </c>
      <c r="P671" s="13">
        <v>42941</v>
      </c>
    </row>
    <row r="672" spans="1:16" ht="14.25">
      <c r="A672" s="10">
        <v>2017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2</v>
      </c>
      <c r="M672" s="8">
        <v>2019</v>
      </c>
      <c r="N672" s="9">
        <v>0</v>
      </c>
      <c r="O672" s="13">
        <v>42941</v>
      </c>
      <c r="P672" s="13">
        <v>42941</v>
      </c>
    </row>
    <row r="673" spans="1:16" ht="14.25">
      <c r="A673" s="10">
        <v>2017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9</v>
      </c>
      <c r="M673" s="8">
        <v>2026</v>
      </c>
      <c r="N673" s="9">
        <v>0</v>
      </c>
      <c r="O673" s="13">
        <v>42941</v>
      </c>
      <c r="P673" s="13">
        <v>42941</v>
      </c>
    </row>
    <row r="674" spans="1:16" ht="14.25">
      <c r="A674" s="10">
        <v>2017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0</v>
      </c>
      <c r="M674" s="8">
        <v>2017</v>
      </c>
      <c r="N674" s="9">
        <v>2410061.55</v>
      </c>
      <c r="O674" s="13">
        <v>42941</v>
      </c>
      <c r="P674" s="13">
        <v>42941</v>
      </c>
    </row>
    <row r="675" spans="1:16" ht="14.25">
      <c r="A675" s="10">
        <v>2017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5</v>
      </c>
      <c r="M675" s="8">
        <v>2022</v>
      </c>
      <c r="N675" s="9">
        <v>0</v>
      </c>
      <c r="O675" s="13">
        <v>42941</v>
      </c>
      <c r="P675" s="13">
        <v>42941</v>
      </c>
    </row>
    <row r="676" spans="1:16" ht="14.25">
      <c r="A676" s="10">
        <v>2017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2</v>
      </c>
      <c r="M676" s="8">
        <v>2019</v>
      </c>
      <c r="N676" s="9">
        <v>0</v>
      </c>
      <c r="O676" s="13">
        <v>42941</v>
      </c>
      <c r="P676" s="13">
        <v>42941</v>
      </c>
    </row>
    <row r="677" spans="1:16" ht="14.25">
      <c r="A677" s="10">
        <v>2017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1</v>
      </c>
      <c r="M677" s="8">
        <v>2018</v>
      </c>
      <c r="N677" s="9">
        <v>38833</v>
      </c>
      <c r="O677" s="13">
        <v>42941</v>
      </c>
      <c r="P677" s="13">
        <v>42941</v>
      </c>
    </row>
    <row r="678" spans="1:16" ht="14.25">
      <c r="A678" s="10">
        <v>2017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6</v>
      </c>
      <c r="M678" s="8">
        <v>2023</v>
      </c>
      <c r="N678" s="9">
        <v>0</v>
      </c>
      <c r="O678" s="13">
        <v>42941</v>
      </c>
      <c r="P678" s="13">
        <v>42941</v>
      </c>
    </row>
    <row r="679" spans="1:16" ht="14.25">
      <c r="A679" s="10">
        <v>2017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3</v>
      </c>
      <c r="M679" s="8">
        <v>2020</v>
      </c>
      <c r="N679" s="9">
        <v>0</v>
      </c>
      <c r="O679" s="13">
        <v>42941</v>
      </c>
      <c r="P679" s="13">
        <v>42941</v>
      </c>
    </row>
    <row r="680" spans="1:16" ht="14.25">
      <c r="A680" s="10">
        <v>2017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8</v>
      </c>
      <c r="M680" s="8">
        <v>2025</v>
      </c>
      <c r="N680" s="9">
        <v>0</v>
      </c>
      <c r="O680" s="13">
        <v>42941</v>
      </c>
      <c r="P680" s="13">
        <v>42941</v>
      </c>
    </row>
    <row r="681" spans="1:16" ht="14.25">
      <c r="A681" s="10">
        <v>2017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4</v>
      </c>
      <c r="M681" s="8">
        <v>2021</v>
      </c>
      <c r="N681" s="9">
        <v>0</v>
      </c>
      <c r="O681" s="13">
        <v>42941</v>
      </c>
      <c r="P681" s="13">
        <v>42941</v>
      </c>
    </row>
    <row r="682" spans="1:16" ht="14.25">
      <c r="A682" s="10">
        <v>2017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7</v>
      </c>
      <c r="M682" s="8">
        <v>2024</v>
      </c>
      <c r="N682" s="9">
        <v>0</v>
      </c>
      <c r="O682" s="13">
        <v>42941</v>
      </c>
      <c r="P682" s="13">
        <v>42941</v>
      </c>
    </row>
    <row r="683" spans="1:16" ht="14.25">
      <c r="A683" s="10">
        <v>2017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9</v>
      </c>
      <c r="M683" s="8">
        <v>2026</v>
      </c>
      <c r="N683" s="9">
        <v>0</v>
      </c>
      <c r="O683" s="13">
        <v>42941</v>
      </c>
      <c r="P683" s="13">
        <v>42941</v>
      </c>
    </row>
    <row r="684" spans="1:16" ht="14.25">
      <c r="A684" s="10">
        <v>2017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8</v>
      </c>
      <c r="M684" s="8">
        <v>2025</v>
      </c>
      <c r="N684" s="9">
        <v>0</v>
      </c>
      <c r="O684" s="13">
        <v>42941</v>
      </c>
      <c r="P684" s="13">
        <v>42941</v>
      </c>
    </row>
    <row r="685" spans="1:16" ht="14.25">
      <c r="A685" s="10">
        <v>2017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5</v>
      </c>
      <c r="M685" s="8">
        <v>2022</v>
      </c>
      <c r="N685" s="9">
        <v>0</v>
      </c>
      <c r="O685" s="13">
        <v>42941</v>
      </c>
      <c r="P685" s="13">
        <v>42941</v>
      </c>
    </row>
    <row r="686" spans="1:16" ht="14.25">
      <c r="A686" s="10">
        <v>2017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7</v>
      </c>
      <c r="M686" s="8">
        <v>2024</v>
      </c>
      <c r="N686" s="9">
        <v>0</v>
      </c>
      <c r="O686" s="13">
        <v>42941</v>
      </c>
      <c r="P686" s="13">
        <v>42941</v>
      </c>
    </row>
    <row r="687" spans="1:16" ht="14.25">
      <c r="A687" s="10">
        <v>2017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6</v>
      </c>
      <c r="M687" s="8">
        <v>2023</v>
      </c>
      <c r="N687" s="9">
        <v>0</v>
      </c>
      <c r="O687" s="13">
        <v>42941</v>
      </c>
      <c r="P687" s="13">
        <v>42941</v>
      </c>
    </row>
    <row r="688" spans="1:16" ht="14.25">
      <c r="A688" s="10">
        <v>2017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9</v>
      </c>
      <c r="M688" s="8">
        <v>2026</v>
      </c>
      <c r="N688" s="9">
        <v>0</v>
      </c>
      <c r="O688" s="13">
        <v>42941</v>
      </c>
      <c r="P688" s="13">
        <v>42941</v>
      </c>
    </row>
    <row r="689" spans="1:16" ht="14.25">
      <c r="A689" s="10">
        <v>2017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3</v>
      </c>
      <c r="M689" s="8">
        <v>2020</v>
      </c>
      <c r="N689" s="9">
        <v>0</v>
      </c>
      <c r="O689" s="13">
        <v>42941</v>
      </c>
      <c r="P689" s="13">
        <v>42941</v>
      </c>
    </row>
    <row r="690" spans="1:16" ht="14.25">
      <c r="A690" s="10">
        <v>2017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4</v>
      </c>
      <c r="M690" s="8">
        <v>2021</v>
      </c>
      <c r="N690" s="9">
        <v>0</v>
      </c>
      <c r="O690" s="13">
        <v>42941</v>
      </c>
      <c r="P690" s="13">
        <v>42941</v>
      </c>
    </row>
    <row r="691" spans="1:16" ht="14.25">
      <c r="A691" s="10">
        <v>2017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0</v>
      </c>
      <c r="M691" s="8">
        <v>2017</v>
      </c>
      <c r="N691" s="9">
        <v>125696.02</v>
      </c>
      <c r="O691" s="13">
        <v>42941</v>
      </c>
      <c r="P691" s="13">
        <v>42941</v>
      </c>
    </row>
    <row r="692" spans="1:16" ht="14.25">
      <c r="A692" s="10">
        <v>2017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1</v>
      </c>
      <c r="M692" s="8">
        <v>2018</v>
      </c>
      <c r="N692" s="9">
        <v>0</v>
      </c>
      <c r="O692" s="13">
        <v>42941</v>
      </c>
      <c r="P692" s="13">
        <v>42941</v>
      </c>
    </row>
    <row r="693" spans="1:16" ht="14.25">
      <c r="A693" s="10">
        <v>2017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2</v>
      </c>
      <c r="M693" s="8">
        <v>2019</v>
      </c>
      <c r="N693" s="9">
        <v>0</v>
      </c>
      <c r="O693" s="13">
        <v>42941</v>
      </c>
      <c r="P693" s="13">
        <v>42941</v>
      </c>
    </row>
    <row r="694" spans="1:16" ht="14.25">
      <c r="A694" s="10">
        <v>2017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8</v>
      </c>
      <c r="M694" s="8">
        <v>2025</v>
      </c>
      <c r="N694" s="9">
        <v>0</v>
      </c>
      <c r="O694" s="13">
        <v>42941</v>
      </c>
      <c r="P694" s="13">
        <v>42941</v>
      </c>
    </row>
    <row r="695" spans="1:16" ht="14.25">
      <c r="A695" s="10">
        <v>2017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6</v>
      </c>
      <c r="M695" s="8">
        <v>2023</v>
      </c>
      <c r="N695" s="9">
        <v>0</v>
      </c>
      <c r="O695" s="13">
        <v>42941</v>
      </c>
      <c r="P695" s="13">
        <v>42941</v>
      </c>
    </row>
    <row r="696" spans="1:16" ht="14.25">
      <c r="A696" s="10">
        <v>2017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2</v>
      </c>
      <c r="M696" s="8">
        <v>2019</v>
      </c>
      <c r="N696" s="9">
        <v>0</v>
      </c>
      <c r="O696" s="13">
        <v>42941</v>
      </c>
      <c r="P696" s="13">
        <v>42941</v>
      </c>
    </row>
    <row r="697" spans="1:16" ht="14.25">
      <c r="A697" s="10">
        <v>2017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1</v>
      </c>
      <c r="M697" s="8">
        <v>2018</v>
      </c>
      <c r="N697" s="9">
        <v>0</v>
      </c>
      <c r="O697" s="13">
        <v>42941</v>
      </c>
      <c r="P697" s="13">
        <v>42941</v>
      </c>
    </row>
    <row r="698" spans="1:16" ht="14.25">
      <c r="A698" s="10">
        <v>2017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3</v>
      </c>
      <c r="M698" s="8">
        <v>2020</v>
      </c>
      <c r="N698" s="9">
        <v>0</v>
      </c>
      <c r="O698" s="13">
        <v>42941</v>
      </c>
      <c r="P698" s="13">
        <v>42941</v>
      </c>
    </row>
    <row r="699" spans="1:16" ht="14.25">
      <c r="A699" s="10">
        <v>2017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9</v>
      </c>
      <c r="M699" s="8">
        <v>2026</v>
      </c>
      <c r="N699" s="9">
        <v>0</v>
      </c>
      <c r="O699" s="13">
        <v>42941</v>
      </c>
      <c r="P699" s="13">
        <v>42941</v>
      </c>
    </row>
    <row r="700" spans="1:16" ht="14.25">
      <c r="A700" s="10">
        <v>2017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7</v>
      </c>
      <c r="M700" s="8">
        <v>2024</v>
      </c>
      <c r="N700" s="9">
        <v>0</v>
      </c>
      <c r="O700" s="13">
        <v>42941</v>
      </c>
      <c r="P700" s="13">
        <v>42941</v>
      </c>
    </row>
    <row r="701" spans="1:16" ht="14.25">
      <c r="A701" s="10">
        <v>2017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5</v>
      </c>
      <c r="M701" s="8">
        <v>2022</v>
      </c>
      <c r="N701" s="9">
        <v>0</v>
      </c>
      <c r="O701" s="13">
        <v>42941</v>
      </c>
      <c r="P701" s="13">
        <v>42941</v>
      </c>
    </row>
    <row r="702" spans="1:16" ht="14.25">
      <c r="A702" s="10">
        <v>2017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0</v>
      </c>
      <c r="M702" s="8">
        <v>2017</v>
      </c>
      <c r="N702" s="9">
        <v>0</v>
      </c>
      <c r="O702" s="13">
        <v>42941</v>
      </c>
      <c r="P702" s="13">
        <v>42941</v>
      </c>
    </row>
    <row r="703" spans="1:16" ht="14.25">
      <c r="A703" s="10">
        <v>2017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4</v>
      </c>
      <c r="M703" s="8">
        <v>2021</v>
      </c>
      <c r="N703" s="9">
        <v>0</v>
      </c>
      <c r="O703" s="13">
        <v>42941</v>
      </c>
      <c r="P703" s="13">
        <v>42941</v>
      </c>
    </row>
    <row r="704" spans="1:16" ht="14.25">
      <c r="A704" s="10">
        <v>2017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9</v>
      </c>
      <c r="M704" s="8">
        <v>2026</v>
      </c>
      <c r="N704" s="9">
        <v>1403924</v>
      </c>
      <c r="O704" s="13">
        <v>42941</v>
      </c>
      <c r="P704" s="13">
        <v>42941</v>
      </c>
    </row>
    <row r="705" spans="1:16" ht="14.25">
      <c r="A705" s="10">
        <v>2017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8</v>
      </c>
      <c r="M705" s="8">
        <v>2025</v>
      </c>
      <c r="N705" s="9">
        <v>1500000</v>
      </c>
      <c r="O705" s="13">
        <v>42941</v>
      </c>
      <c r="P705" s="13">
        <v>42941</v>
      </c>
    </row>
    <row r="706" spans="1:16" ht="14.25">
      <c r="A706" s="10">
        <v>2017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1</v>
      </c>
      <c r="M706" s="8">
        <v>2018</v>
      </c>
      <c r="N706" s="9">
        <v>1725309</v>
      </c>
      <c r="O706" s="13">
        <v>42941</v>
      </c>
      <c r="P706" s="13">
        <v>42941</v>
      </c>
    </row>
    <row r="707" spans="1:16" ht="14.25">
      <c r="A707" s="10">
        <v>2017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3</v>
      </c>
      <c r="M707" s="8">
        <v>2020</v>
      </c>
      <c r="N707" s="9">
        <v>1656076</v>
      </c>
      <c r="O707" s="13">
        <v>42941</v>
      </c>
      <c r="P707" s="13">
        <v>42941</v>
      </c>
    </row>
    <row r="708" spans="1:16" ht="14.25">
      <c r="A708" s="10">
        <v>2017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5</v>
      </c>
      <c r="M708" s="8">
        <v>2022</v>
      </c>
      <c r="N708" s="9">
        <v>1600000</v>
      </c>
      <c r="O708" s="13">
        <v>42941</v>
      </c>
      <c r="P708" s="13">
        <v>42941</v>
      </c>
    </row>
    <row r="709" spans="1:16" ht="14.25">
      <c r="A709" s="10">
        <v>2017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7</v>
      </c>
      <c r="M709" s="8">
        <v>2024</v>
      </c>
      <c r="N709" s="9">
        <v>1500000</v>
      </c>
      <c r="O709" s="13">
        <v>42941</v>
      </c>
      <c r="P709" s="13">
        <v>42941</v>
      </c>
    </row>
    <row r="710" spans="1:16" ht="14.25">
      <c r="A710" s="10">
        <v>2017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6</v>
      </c>
      <c r="M710" s="8">
        <v>2023</v>
      </c>
      <c r="N710" s="9">
        <v>1500000</v>
      </c>
      <c r="O710" s="13">
        <v>42941</v>
      </c>
      <c r="P710" s="13">
        <v>42941</v>
      </c>
    </row>
    <row r="711" spans="1:16" ht="14.25">
      <c r="A711" s="10">
        <v>2017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4</v>
      </c>
      <c r="M711" s="8">
        <v>2021</v>
      </c>
      <c r="N711" s="9">
        <v>1687000</v>
      </c>
      <c r="O711" s="13">
        <v>42941</v>
      </c>
      <c r="P711" s="13">
        <v>42941</v>
      </c>
    </row>
    <row r="712" spans="1:16" ht="14.25">
      <c r="A712" s="10">
        <v>2017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0</v>
      </c>
      <c r="M712" s="8">
        <v>2017</v>
      </c>
      <c r="N712" s="9">
        <v>2163923.47</v>
      </c>
      <c r="O712" s="13">
        <v>42941</v>
      </c>
      <c r="P712" s="13">
        <v>42941</v>
      </c>
    </row>
    <row r="713" spans="1:16" ht="14.25">
      <c r="A713" s="10">
        <v>2017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2</v>
      </c>
      <c r="M713" s="8">
        <v>2019</v>
      </c>
      <c r="N713" s="9">
        <v>1630000</v>
      </c>
      <c r="O713" s="13">
        <v>42941</v>
      </c>
      <c r="P713" s="13">
        <v>42941</v>
      </c>
    </row>
    <row r="714" spans="1:16" ht="14.25">
      <c r="A714" s="10">
        <v>2017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0</v>
      </c>
      <c r="M714" s="8">
        <v>2017</v>
      </c>
      <c r="N714" s="9">
        <v>136490</v>
      </c>
      <c r="O714" s="13">
        <v>42941</v>
      </c>
      <c r="P714" s="13">
        <v>42941</v>
      </c>
    </row>
    <row r="715" spans="1:16" ht="14.25">
      <c r="A715" s="10">
        <v>2017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1</v>
      </c>
      <c r="M715" s="8">
        <v>2018</v>
      </c>
      <c r="N715" s="9">
        <v>92822.25</v>
      </c>
      <c r="O715" s="13">
        <v>42941</v>
      </c>
      <c r="P715" s="13">
        <v>42941</v>
      </c>
    </row>
    <row r="716" spans="1:16" ht="14.25">
      <c r="A716" s="10">
        <v>2017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6</v>
      </c>
      <c r="M716" s="8">
        <v>2023</v>
      </c>
      <c r="N716" s="9">
        <v>0</v>
      </c>
      <c r="O716" s="13">
        <v>42941</v>
      </c>
      <c r="P716" s="13">
        <v>42941</v>
      </c>
    </row>
    <row r="717" spans="1:16" ht="14.25">
      <c r="A717" s="10">
        <v>2017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4</v>
      </c>
      <c r="M717" s="8">
        <v>2021</v>
      </c>
      <c r="N717" s="9">
        <v>0</v>
      </c>
      <c r="O717" s="13">
        <v>42941</v>
      </c>
      <c r="P717" s="13">
        <v>42941</v>
      </c>
    </row>
    <row r="718" spans="1:16" ht="14.25">
      <c r="A718" s="10">
        <v>2017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8</v>
      </c>
      <c r="M718" s="8">
        <v>2025</v>
      </c>
      <c r="N718" s="9">
        <v>0</v>
      </c>
      <c r="O718" s="13">
        <v>42941</v>
      </c>
      <c r="P718" s="13">
        <v>42941</v>
      </c>
    </row>
    <row r="719" spans="1:16" ht="14.25">
      <c r="A719" s="10">
        <v>2017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761</v>
      </c>
      <c r="H719" s="12" t="s">
        <v>110</v>
      </c>
      <c r="I719" s="12"/>
      <c r="J719" s="12" t="s">
        <v>111</v>
      </c>
      <c r="K719" s="12" t="b">
        <v>1</v>
      </c>
      <c r="L719" s="12">
        <v>2</v>
      </c>
      <c r="M719" s="8">
        <v>2019</v>
      </c>
      <c r="N719" s="9">
        <v>0</v>
      </c>
      <c r="O719" s="13">
        <v>42941</v>
      </c>
      <c r="P719" s="13">
        <v>42941</v>
      </c>
    </row>
    <row r="720" spans="1:16" ht="14.25">
      <c r="A720" s="10">
        <v>2017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3</v>
      </c>
      <c r="M720" s="8">
        <v>2020</v>
      </c>
      <c r="N720" s="9">
        <v>0</v>
      </c>
      <c r="O720" s="13">
        <v>42941</v>
      </c>
      <c r="P720" s="13">
        <v>42941</v>
      </c>
    </row>
    <row r="721" spans="1:16" ht="14.25">
      <c r="A721" s="10">
        <v>2017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9</v>
      </c>
      <c r="M721" s="8">
        <v>2026</v>
      </c>
      <c r="N721" s="9">
        <v>0</v>
      </c>
      <c r="O721" s="13">
        <v>42941</v>
      </c>
      <c r="P721" s="13">
        <v>42941</v>
      </c>
    </row>
    <row r="722" spans="1:16" ht="14.25">
      <c r="A722" s="10">
        <v>2017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5</v>
      </c>
      <c r="M722" s="8">
        <v>2022</v>
      </c>
      <c r="N722" s="9">
        <v>0</v>
      </c>
      <c r="O722" s="13">
        <v>42941</v>
      </c>
      <c r="P722" s="13">
        <v>42941</v>
      </c>
    </row>
    <row r="723" spans="1:16" ht="14.25">
      <c r="A723" s="10">
        <v>2017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7</v>
      </c>
      <c r="M723" s="8">
        <v>2024</v>
      </c>
      <c r="N723" s="9">
        <v>0</v>
      </c>
      <c r="O723" s="13">
        <v>42941</v>
      </c>
      <c r="P723" s="13">
        <v>42941</v>
      </c>
    </row>
    <row r="724" spans="1:16" ht="14.25">
      <c r="A724" s="10">
        <v>2017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750</v>
      </c>
      <c r="H724" s="12" t="s">
        <v>107</v>
      </c>
      <c r="I724" s="12"/>
      <c r="J724" s="12" t="s">
        <v>108</v>
      </c>
      <c r="K724" s="12" t="b">
        <v>0</v>
      </c>
      <c r="L724" s="12">
        <v>2</v>
      </c>
      <c r="M724" s="8">
        <v>2019</v>
      </c>
      <c r="N724" s="9">
        <v>0</v>
      </c>
      <c r="O724" s="13">
        <v>42941</v>
      </c>
      <c r="P724" s="13">
        <v>42941</v>
      </c>
    </row>
    <row r="725" spans="1:16" ht="14.25">
      <c r="A725" s="10">
        <v>2017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120</v>
      </c>
      <c r="H725" s="12">
        <v>2</v>
      </c>
      <c r="I725" s="12" t="s">
        <v>482</v>
      </c>
      <c r="J725" s="12" t="s">
        <v>19</v>
      </c>
      <c r="K725" s="12" t="b">
        <v>0</v>
      </c>
      <c r="L725" s="12">
        <v>0</v>
      </c>
      <c r="M725" s="8">
        <v>2017</v>
      </c>
      <c r="N725" s="9">
        <v>40048350.71</v>
      </c>
      <c r="O725" s="13">
        <v>42941</v>
      </c>
      <c r="P725" s="13">
        <v>42941</v>
      </c>
    </row>
    <row r="726" spans="1:16" ht="14.25">
      <c r="A726" s="10">
        <v>2017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120</v>
      </c>
      <c r="H726" s="12">
        <v>2</v>
      </c>
      <c r="I726" s="12" t="s">
        <v>482</v>
      </c>
      <c r="J726" s="12" t="s">
        <v>19</v>
      </c>
      <c r="K726" s="12" t="b">
        <v>0</v>
      </c>
      <c r="L726" s="12">
        <v>5</v>
      </c>
      <c r="M726" s="8">
        <v>2022</v>
      </c>
      <c r="N726" s="9">
        <v>35958762</v>
      </c>
      <c r="O726" s="13">
        <v>42941</v>
      </c>
      <c r="P726" s="13">
        <v>42941</v>
      </c>
    </row>
    <row r="727" spans="1:16" ht="14.25">
      <c r="A727" s="10">
        <v>2017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120</v>
      </c>
      <c r="H727" s="12">
        <v>2</v>
      </c>
      <c r="I727" s="12" t="s">
        <v>482</v>
      </c>
      <c r="J727" s="12" t="s">
        <v>19</v>
      </c>
      <c r="K727" s="12" t="b">
        <v>0</v>
      </c>
      <c r="L727" s="12">
        <v>9</v>
      </c>
      <c r="M727" s="8">
        <v>2026</v>
      </c>
      <c r="N727" s="9">
        <v>36458762</v>
      </c>
      <c r="O727" s="13">
        <v>42941</v>
      </c>
      <c r="P727" s="13">
        <v>42941</v>
      </c>
    </row>
    <row r="728" spans="1:16" ht="14.25">
      <c r="A728" s="10">
        <v>2017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120</v>
      </c>
      <c r="H728" s="12">
        <v>2</v>
      </c>
      <c r="I728" s="12" t="s">
        <v>482</v>
      </c>
      <c r="J728" s="12" t="s">
        <v>19</v>
      </c>
      <c r="K728" s="12" t="b">
        <v>0</v>
      </c>
      <c r="L728" s="12">
        <v>8</v>
      </c>
      <c r="M728" s="8">
        <v>2025</v>
      </c>
      <c r="N728" s="9">
        <v>35902305</v>
      </c>
      <c r="O728" s="13">
        <v>42941</v>
      </c>
      <c r="P728" s="13">
        <v>42941</v>
      </c>
    </row>
    <row r="729" spans="1:16" ht="14.25">
      <c r="A729" s="10">
        <v>2017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120</v>
      </c>
      <c r="H729" s="12">
        <v>2</v>
      </c>
      <c r="I729" s="12" t="s">
        <v>482</v>
      </c>
      <c r="J729" s="12" t="s">
        <v>19</v>
      </c>
      <c r="K729" s="12" t="b">
        <v>0</v>
      </c>
      <c r="L729" s="12">
        <v>7</v>
      </c>
      <c r="M729" s="8">
        <v>2024</v>
      </c>
      <c r="N729" s="9">
        <v>35758762</v>
      </c>
      <c r="O729" s="13">
        <v>42941</v>
      </c>
      <c r="P729" s="13">
        <v>42941</v>
      </c>
    </row>
    <row r="730" spans="1:16" ht="14.25">
      <c r="A730" s="10">
        <v>2017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120</v>
      </c>
      <c r="H730" s="12">
        <v>2</v>
      </c>
      <c r="I730" s="12" t="s">
        <v>482</v>
      </c>
      <c r="J730" s="12" t="s">
        <v>19</v>
      </c>
      <c r="K730" s="12" t="b">
        <v>0</v>
      </c>
      <c r="L730" s="12">
        <v>4</v>
      </c>
      <c r="M730" s="8">
        <v>2021</v>
      </c>
      <c r="N730" s="9">
        <v>35921762</v>
      </c>
      <c r="O730" s="13">
        <v>42941</v>
      </c>
      <c r="P730" s="13">
        <v>42941</v>
      </c>
    </row>
    <row r="731" spans="1:16" ht="14.25">
      <c r="A731" s="10">
        <v>2017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120</v>
      </c>
      <c r="H731" s="12">
        <v>2</v>
      </c>
      <c r="I731" s="12" t="s">
        <v>482</v>
      </c>
      <c r="J731" s="12" t="s">
        <v>19</v>
      </c>
      <c r="K731" s="12" t="b">
        <v>0</v>
      </c>
      <c r="L731" s="12">
        <v>2</v>
      </c>
      <c r="M731" s="8">
        <v>2019</v>
      </c>
      <c r="N731" s="9">
        <v>35189726</v>
      </c>
      <c r="O731" s="13">
        <v>42941</v>
      </c>
      <c r="P731" s="13">
        <v>42941</v>
      </c>
    </row>
    <row r="732" spans="1:16" ht="14.25">
      <c r="A732" s="10">
        <v>2017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120</v>
      </c>
      <c r="H732" s="12">
        <v>2</v>
      </c>
      <c r="I732" s="12" t="s">
        <v>482</v>
      </c>
      <c r="J732" s="12" t="s">
        <v>19</v>
      </c>
      <c r="K732" s="12" t="b">
        <v>0</v>
      </c>
      <c r="L732" s="12">
        <v>3</v>
      </c>
      <c r="M732" s="8">
        <v>2020</v>
      </c>
      <c r="N732" s="9">
        <v>35541686</v>
      </c>
      <c r="O732" s="13">
        <v>42941</v>
      </c>
      <c r="P732" s="13">
        <v>42941</v>
      </c>
    </row>
    <row r="733" spans="1:16" ht="14.25">
      <c r="A733" s="10">
        <v>2017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120</v>
      </c>
      <c r="H733" s="12">
        <v>2</v>
      </c>
      <c r="I733" s="12" t="s">
        <v>482</v>
      </c>
      <c r="J733" s="12" t="s">
        <v>19</v>
      </c>
      <c r="K733" s="12" t="b">
        <v>0</v>
      </c>
      <c r="L733" s="12">
        <v>1</v>
      </c>
      <c r="M733" s="8">
        <v>2018</v>
      </c>
      <c r="N733" s="9">
        <v>39521456</v>
      </c>
      <c r="O733" s="13">
        <v>42941</v>
      </c>
      <c r="P733" s="13">
        <v>42941</v>
      </c>
    </row>
    <row r="734" spans="1:16" ht="14.25">
      <c r="A734" s="10">
        <v>2017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120</v>
      </c>
      <c r="H734" s="12">
        <v>2</v>
      </c>
      <c r="I734" s="12" t="s">
        <v>482</v>
      </c>
      <c r="J734" s="12" t="s">
        <v>19</v>
      </c>
      <c r="K734" s="12" t="b">
        <v>0</v>
      </c>
      <c r="L734" s="12">
        <v>6</v>
      </c>
      <c r="M734" s="8">
        <v>2023</v>
      </c>
      <c r="N734" s="9">
        <v>35758762</v>
      </c>
      <c r="O734" s="13">
        <v>42941</v>
      </c>
      <c r="P734" s="13">
        <v>42941</v>
      </c>
    </row>
    <row r="735" spans="1:16" ht="14.25">
      <c r="A735" s="10">
        <v>2017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9</v>
      </c>
      <c r="M735" s="8">
        <v>2026</v>
      </c>
      <c r="N735" s="9">
        <v>0.0411</v>
      </c>
      <c r="O735" s="13">
        <v>42941</v>
      </c>
      <c r="P735" s="13">
        <v>42941</v>
      </c>
    </row>
    <row r="736" spans="1:16" ht="14.25">
      <c r="A736" s="10">
        <v>2017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4</v>
      </c>
      <c r="M736" s="8">
        <v>2021</v>
      </c>
      <c r="N736" s="9">
        <v>0.0447</v>
      </c>
      <c r="O736" s="13">
        <v>42941</v>
      </c>
      <c r="P736" s="13">
        <v>42941</v>
      </c>
    </row>
    <row r="737" spans="1:16" ht="14.25">
      <c r="A737" s="10">
        <v>2017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0</v>
      </c>
      <c r="M737" s="8">
        <v>2017</v>
      </c>
      <c r="N737" s="9">
        <v>0.1413</v>
      </c>
      <c r="O737" s="13">
        <v>42941</v>
      </c>
      <c r="P737" s="13">
        <v>42941</v>
      </c>
    </row>
    <row r="738" spans="1:16" ht="14.25">
      <c r="A738" s="10">
        <v>2017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5</v>
      </c>
      <c r="M738" s="8">
        <v>2022</v>
      </c>
      <c r="N738" s="9">
        <v>0.045</v>
      </c>
      <c r="O738" s="13">
        <v>42941</v>
      </c>
      <c r="P738" s="13">
        <v>42941</v>
      </c>
    </row>
    <row r="739" spans="1:16" ht="14.25">
      <c r="A739" s="10">
        <v>2017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3</v>
      </c>
      <c r="M739" s="8">
        <v>2020</v>
      </c>
      <c r="N739" s="9">
        <v>0.0496</v>
      </c>
      <c r="O739" s="13">
        <v>42941</v>
      </c>
      <c r="P739" s="13">
        <v>42941</v>
      </c>
    </row>
    <row r="740" spans="1:16" ht="14.25">
      <c r="A740" s="10">
        <v>2017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1</v>
      </c>
      <c r="M740" s="8">
        <v>2018</v>
      </c>
      <c r="N740" s="9">
        <v>0.1166</v>
      </c>
      <c r="O740" s="13">
        <v>42941</v>
      </c>
      <c r="P740" s="13">
        <v>42941</v>
      </c>
    </row>
    <row r="741" spans="1:16" ht="14.25">
      <c r="A741" s="10">
        <v>2017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6</v>
      </c>
      <c r="M741" s="8">
        <v>2023</v>
      </c>
      <c r="N741" s="9">
        <v>0.0454</v>
      </c>
      <c r="O741" s="13">
        <v>42941</v>
      </c>
      <c r="P741" s="13">
        <v>42941</v>
      </c>
    </row>
    <row r="742" spans="1:16" ht="14.25">
      <c r="A742" s="10">
        <v>2017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8</v>
      </c>
      <c r="M742" s="8">
        <v>2025</v>
      </c>
      <c r="N742" s="9">
        <v>0.042</v>
      </c>
      <c r="O742" s="13">
        <v>42941</v>
      </c>
      <c r="P742" s="13">
        <v>42941</v>
      </c>
    </row>
    <row r="743" spans="1:16" ht="14.25">
      <c r="A743" s="10">
        <v>2017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2</v>
      </c>
      <c r="M743" s="8">
        <v>2019</v>
      </c>
      <c r="N743" s="9">
        <v>0.0797</v>
      </c>
      <c r="O743" s="13">
        <v>42941</v>
      </c>
      <c r="P743" s="13">
        <v>42941</v>
      </c>
    </row>
    <row r="744" spans="1:16" ht="14.25">
      <c r="A744" s="10">
        <v>2017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520</v>
      </c>
      <c r="H744" s="12" t="s">
        <v>79</v>
      </c>
      <c r="I744" s="12"/>
      <c r="J744" s="12" t="s">
        <v>370</v>
      </c>
      <c r="K744" s="12" t="b">
        <v>1</v>
      </c>
      <c r="L744" s="12">
        <v>7</v>
      </c>
      <c r="M744" s="8">
        <v>2024</v>
      </c>
      <c r="N744" s="9">
        <v>0.0438</v>
      </c>
      <c r="O744" s="13">
        <v>42941</v>
      </c>
      <c r="P744" s="13">
        <v>42941</v>
      </c>
    </row>
    <row r="745" spans="1:16" ht="14.25">
      <c r="A745" s="10">
        <v>2017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1</v>
      </c>
      <c r="M745" s="8">
        <v>2018</v>
      </c>
      <c r="N745" s="9">
        <v>450000</v>
      </c>
      <c r="O745" s="13">
        <v>42941</v>
      </c>
      <c r="P745" s="13">
        <v>42941</v>
      </c>
    </row>
    <row r="746" spans="1:16" ht="14.25">
      <c r="A746" s="10">
        <v>2017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7</v>
      </c>
      <c r="M746" s="8">
        <v>2024</v>
      </c>
      <c r="N746" s="9">
        <v>121000</v>
      </c>
      <c r="O746" s="13">
        <v>42941</v>
      </c>
      <c r="P746" s="13">
        <v>42941</v>
      </c>
    </row>
    <row r="747" spans="1:16" ht="14.25">
      <c r="A747" s="10">
        <v>2017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9</v>
      </c>
      <c r="M747" s="8">
        <v>2026</v>
      </c>
      <c r="N747" s="9">
        <v>0</v>
      </c>
      <c r="O747" s="13">
        <v>42941</v>
      </c>
      <c r="P747" s="13">
        <v>42941</v>
      </c>
    </row>
    <row r="748" spans="1:16" ht="14.25">
      <c r="A748" s="10">
        <v>2017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8</v>
      </c>
      <c r="M748" s="8">
        <v>2025</v>
      </c>
      <c r="N748" s="9">
        <v>58000</v>
      </c>
      <c r="O748" s="13">
        <v>42941</v>
      </c>
      <c r="P748" s="13">
        <v>42941</v>
      </c>
    </row>
    <row r="749" spans="1:16" ht="14.25">
      <c r="A749" s="10">
        <v>2017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6</v>
      </c>
      <c r="M749" s="8">
        <v>2023</v>
      </c>
      <c r="N749" s="9">
        <v>168000</v>
      </c>
      <c r="O749" s="13">
        <v>42941</v>
      </c>
      <c r="P749" s="13">
        <v>42941</v>
      </c>
    </row>
    <row r="750" spans="1:16" ht="14.25">
      <c r="A750" s="10">
        <v>2017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0</v>
      </c>
      <c r="M750" s="8">
        <v>2017</v>
      </c>
      <c r="N750" s="9">
        <v>145000</v>
      </c>
      <c r="O750" s="13">
        <v>42941</v>
      </c>
      <c r="P750" s="13">
        <v>42941</v>
      </c>
    </row>
    <row r="751" spans="1:16" ht="14.25">
      <c r="A751" s="10">
        <v>2017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4</v>
      </c>
      <c r="M751" s="8">
        <v>2021</v>
      </c>
      <c r="N751" s="9">
        <v>316000</v>
      </c>
      <c r="O751" s="13">
        <v>42941</v>
      </c>
      <c r="P751" s="13">
        <v>42941</v>
      </c>
    </row>
    <row r="752" spans="1:16" ht="14.25">
      <c r="A752" s="10">
        <v>2017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2</v>
      </c>
      <c r="M752" s="8">
        <v>2019</v>
      </c>
      <c r="N752" s="9">
        <v>442000</v>
      </c>
      <c r="O752" s="13">
        <v>42941</v>
      </c>
      <c r="P752" s="13">
        <v>42941</v>
      </c>
    </row>
    <row r="753" spans="1:16" ht="14.25">
      <c r="A753" s="10">
        <v>2017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5</v>
      </c>
      <c r="M753" s="8">
        <v>2022</v>
      </c>
      <c r="N753" s="9">
        <v>258000</v>
      </c>
      <c r="O753" s="13">
        <v>42941</v>
      </c>
      <c r="P753" s="13">
        <v>42941</v>
      </c>
    </row>
    <row r="754" spans="1:16" ht="14.25">
      <c r="A754" s="10">
        <v>2017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170</v>
      </c>
      <c r="H754" s="12" t="s">
        <v>59</v>
      </c>
      <c r="I754" s="12"/>
      <c r="J754" s="12" t="s">
        <v>340</v>
      </c>
      <c r="K754" s="12" t="b">
        <v>1</v>
      </c>
      <c r="L754" s="12">
        <v>3</v>
      </c>
      <c r="M754" s="8">
        <v>2020</v>
      </c>
      <c r="N754" s="9">
        <v>395000</v>
      </c>
      <c r="O754" s="13">
        <v>42941</v>
      </c>
      <c r="P754" s="13">
        <v>42941</v>
      </c>
    </row>
    <row r="755" spans="1:16" ht="14.25">
      <c r="A755" s="10">
        <v>2017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9</v>
      </c>
      <c r="M755" s="8">
        <v>2026</v>
      </c>
      <c r="N755" s="9">
        <v>0</v>
      </c>
      <c r="O755" s="13">
        <v>42941</v>
      </c>
      <c r="P755" s="13">
        <v>42941</v>
      </c>
    </row>
    <row r="756" spans="1:16" ht="14.25">
      <c r="A756" s="10">
        <v>2017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5</v>
      </c>
      <c r="M756" s="8">
        <v>2022</v>
      </c>
      <c r="N756" s="9">
        <v>0</v>
      </c>
      <c r="O756" s="13">
        <v>42941</v>
      </c>
      <c r="P756" s="13">
        <v>42941</v>
      </c>
    </row>
    <row r="757" spans="1:16" ht="14.25">
      <c r="A757" s="10">
        <v>2017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7</v>
      </c>
      <c r="M757" s="8">
        <v>2024</v>
      </c>
      <c r="N757" s="9">
        <v>0</v>
      </c>
      <c r="O757" s="13">
        <v>42941</v>
      </c>
      <c r="P757" s="13">
        <v>42941</v>
      </c>
    </row>
    <row r="758" spans="1:16" ht="14.25">
      <c r="A758" s="10">
        <v>2017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1</v>
      </c>
      <c r="M758" s="8">
        <v>2018</v>
      </c>
      <c r="N758" s="9">
        <v>2416023</v>
      </c>
      <c r="O758" s="13">
        <v>42941</v>
      </c>
      <c r="P758" s="13">
        <v>42941</v>
      </c>
    </row>
    <row r="759" spans="1:16" ht="14.25">
      <c r="A759" s="10">
        <v>2017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3</v>
      </c>
      <c r="M759" s="8">
        <v>2020</v>
      </c>
      <c r="N759" s="9">
        <v>0</v>
      </c>
      <c r="O759" s="13">
        <v>42941</v>
      </c>
      <c r="P759" s="13">
        <v>42941</v>
      </c>
    </row>
    <row r="760" spans="1:16" ht="14.25">
      <c r="A760" s="10">
        <v>2017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6</v>
      </c>
      <c r="M760" s="8">
        <v>2023</v>
      </c>
      <c r="N760" s="9">
        <v>0</v>
      </c>
      <c r="O760" s="13">
        <v>42941</v>
      </c>
      <c r="P760" s="13">
        <v>42941</v>
      </c>
    </row>
    <row r="761" spans="1:16" ht="14.25">
      <c r="A761" s="10">
        <v>2017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8</v>
      </c>
      <c r="M761" s="8">
        <v>2025</v>
      </c>
      <c r="N761" s="9">
        <v>0</v>
      </c>
      <c r="O761" s="13">
        <v>42941</v>
      </c>
      <c r="P761" s="13">
        <v>42941</v>
      </c>
    </row>
    <row r="762" spans="1:16" ht="14.25">
      <c r="A762" s="10">
        <v>2017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0</v>
      </c>
      <c r="M762" s="8">
        <v>2017</v>
      </c>
      <c r="N762" s="9">
        <v>2731444</v>
      </c>
      <c r="O762" s="13">
        <v>42941</v>
      </c>
      <c r="P762" s="13">
        <v>42941</v>
      </c>
    </row>
    <row r="763" spans="1:16" ht="14.25">
      <c r="A763" s="10">
        <v>2017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4</v>
      </c>
      <c r="M763" s="8">
        <v>2021</v>
      </c>
      <c r="N763" s="9">
        <v>0</v>
      </c>
      <c r="O763" s="13">
        <v>42941</v>
      </c>
      <c r="P763" s="13">
        <v>42941</v>
      </c>
    </row>
    <row r="764" spans="1:16" ht="14.25">
      <c r="A764" s="10">
        <v>2017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6</v>
      </c>
      <c r="M764" s="8">
        <v>2023</v>
      </c>
      <c r="N764" s="9">
        <v>700000</v>
      </c>
      <c r="O764" s="13">
        <v>42941</v>
      </c>
      <c r="P764" s="13">
        <v>42941</v>
      </c>
    </row>
    <row r="765" spans="1:16" ht="14.25">
      <c r="A765" s="10">
        <v>2017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8</v>
      </c>
      <c r="M765" s="8">
        <v>2025</v>
      </c>
      <c r="N765" s="9">
        <v>556457</v>
      </c>
      <c r="O765" s="13">
        <v>42941</v>
      </c>
      <c r="P765" s="13">
        <v>42941</v>
      </c>
    </row>
    <row r="766" spans="1:16" ht="14.25">
      <c r="A766" s="10">
        <v>2017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4</v>
      </c>
      <c r="M766" s="8">
        <v>2021</v>
      </c>
      <c r="N766" s="9">
        <v>537000</v>
      </c>
      <c r="O766" s="13">
        <v>42941</v>
      </c>
      <c r="P766" s="13">
        <v>42941</v>
      </c>
    </row>
    <row r="767" spans="1:16" ht="14.25">
      <c r="A767" s="10">
        <v>2017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5</v>
      </c>
      <c r="M767" s="8">
        <v>2022</v>
      </c>
      <c r="N767" s="9">
        <v>500000</v>
      </c>
      <c r="O767" s="13">
        <v>42941</v>
      </c>
      <c r="P767" s="13">
        <v>42941</v>
      </c>
    </row>
    <row r="768" spans="1:16" ht="14.25">
      <c r="A768" s="10">
        <v>2017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7</v>
      </c>
      <c r="M768" s="8">
        <v>2024</v>
      </c>
      <c r="N768" s="9">
        <v>700000</v>
      </c>
      <c r="O768" s="13">
        <v>42941</v>
      </c>
      <c r="P768" s="13">
        <v>42941</v>
      </c>
    </row>
    <row r="769" spans="1:16" ht="14.25">
      <c r="A769" s="10">
        <v>2017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0</v>
      </c>
      <c r="M769" s="8">
        <v>2017</v>
      </c>
      <c r="N769" s="9">
        <v>388527.28</v>
      </c>
      <c r="O769" s="13">
        <v>42941</v>
      </c>
      <c r="P769" s="13">
        <v>42941</v>
      </c>
    </row>
    <row r="770" spans="1:16" ht="14.25">
      <c r="A770" s="10">
        <v>2017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9</v>
      </c>
      <c r="M770" s="8">
        <v>2026</v>
      </c>
      <c r="N770" s="9">
        <v>0</v>
      </c>
      <c r="O770" s="13">
        <v>42941</v>
      </c>
      <c r="P770" s="13">
        <v>42941</v>
      </c>
    </row>
    <row r="771" spans="1:16" ht="14.25">
      <c r="A771" s="10">
        <v>2017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3</v>
      </c>
      <c r="M771" s="8">
        <v>2020</v>
      </c>
      <c r="N771" s="9">
        <v>556076</v>
      </c>
      <c r="O771" s="13">
        <v>42941</v>
      </c>
      <c r="P771" s="13">
        <v>42941</v>
      </c>
    </row>
    <row r="772" spans="1:16" ht="14.25">
      <c r="A772" s="10">
        <v>2017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1</v>
      </c>
      <c r="M772" s="8">
        <v>2018</v>
      </c>
      <c r="N772" s="9">
        <v>3056753</v>
      </c>
      <c r="O772" s="13">
        <v>42941</v>
      </c>
      <c r="P772" s="13">
        <v>42941</v>
      </c>
    </row>
    <row r="773" spans="1:16" ht="14.25">
      <c r="A773" s="10">
        <v>2017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2</v>
      </c>
      <c r="M773" s="8">
        <v>2019</v>
      </c>
      <c r="N773" s="9">
        <v>2896023</v>
      </c>
      <c r="O773" s="13">
        <v>42941</v>
      </c>
      <c r="P773" s="13">
        <v>42941</v>
      </c>
    </row>
    <row r="774" spans="1:16" ht="14.25">
      <c r="A774" s="10">
        <v>2017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3</v>
      </c>
      <c r="M774" s="8">
        <v>2020</v>
      </c>
      <c r="N774" s="9">
        <v>12730000</v>
      </c>
      <c r="O774" s="13">
        <v>42941</v>
      </c>
      <c r="P774" s="13">
        <v>42941</v>
      </c>
    </row>
    <row r="775" spans="1:16" ht="14.25">
      <c r="A775" s="10">
        <v>2017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2</v>
      </c>
      <c r="M775" s="8">
        <v>2019</v>
      </c>
      <c r="N775" s="9">
        <v>12580000</v>
      </c>
      <c r="O775" s="13">
        <v>42941</v>
      </c>
      <c r="P775" s="13">
        <v>42941</v>
      </c>
    </row>
    <row r="776" spans="1:16" ht="14.25">
      <c r="A776" s="10">
        <v>2017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5</v>
      </c>
      <c r="M776" s="8">
        <v>2022</v>
      </c>
      <c r="N776" s="9">
        <v>12850000</v>
      </c>
      <c r="O776" s="13">
        <v>42941</v>
      </c>
      <c r="P776" s="13">
        <v>42941</v>
      </c>
    </row>
    <row r="777" spans="1:16" ht="14.25">
      <c r="A777" s="10">
        <v>2017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4</v>
      </c>
      <c r="M777" s="8">
        <v>2021</v>
      </c>
      <c r="N777" s="9">
        <v>12850000</v>
      </c>
      <c r="O777" s="13">
        <v>42941</v>
      </c>
      <c r="P777" s="13">
        <v>42941</v>
      </c>
    </row>
    <row r="778" spans="1:16" ht="14.25">
      <c r="A778" s="10">
        <v>2017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6</v>
      </c>
      <c r="M778" s="8">
        <v>2023</v>
      </c>
      <c r="N778" s="9">
        <v>12850000</v>
      </c>
      <c r="O778" s="13">
        <v>42941</v>
      </c>
      <c r="P778" s="13">
        <v>42941</v>
      </c>
    </row>
    <row r="779" spans="1:16" ht="14.25">
      <c r="A779" s="10">
        <v>2017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7</v>
      </c>
      <c r="M779" s="8">
        <v>2024</v>
      </c>
      <c r="N779" s="9">
        <v>12850000</v>
      </c>
      <c r="O779" s="13">
        <v>42941</v>
      </c>
      <c r="P779" s="13">
        <v>42941</v>
      </c>
    </row>
    <row r="780" spans="1:16" ht="14.25">
      <c r="A780" s="10">
        <v>2017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0</v>
      </c>
      <c r="M780" s="8">
        <v>2017</v>
      </c>
      <c r="N780" s="9">
        <v>12537595.78</v>
      </c>
      <c r="O780" s="13">
        <v>42941</v>
      </c>
      <c r="P780" s="13">
        <v>42941</v>
      </c>
    </row>
    <row r="781" spans="1:16" ht="14.25">
      <c r="A781" s="10">
        <v>2017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8</v>
      </c>
      <c r="M781" s="8">
        <v>2025</v>
      </c>
      <c r="N781" s="9">
        <v>12850000</v>
      </c>
      <c r="O781" s="13">
        <v>42941</v>
      </c>
      <c r="P781" s="13">
        <v>42941</v>
      </c>
    </row>
    <row r="782" spans="1:16" ht="14.25">
      <c r="A782" s="10">
        <v>2017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1</v>
      </c>
      <c r="M782" s="8">
        <v>2018</v>
      </c>
      <c r="N782" s="9">
        <v>12450000</v>
      </c>
      <c r="O782" s="13">
        <v>42941</v>
      </c>
      <c r="P782" s="13">
        <v>42941</v>
      </c>
    </row>
    <row r="783" spans="1:16" ht="14.25">
      <c r="A783" s="10">
        <v>2017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9</v>
      </c>
      <c r="M783" s="8">
        <v>2026</v>
      </c>
      <c r="N783" s="9">
        <v>12850000</v>
      </c>
      <c r="O783" s="13">
        <v>42941</v>
      </c>
      <c r="P783" s="13">
        <v>42941</v>
      </c>
    </row>
    <row r="784" spans="1:16" ht="14.25">
      <c r="A784" s="10">
        <v>2017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8</v>
      </c>
      <c r="M784" s="8">
        <v>2025</v>
      </c>
      <c r="N784" s="9">
        <v>0</v>
      </c>
      <c r="O784" s="13">
        <v>42941</v>
      </c>
      <c r="P784" s="13">
        <v>42941</v>
      </c>
    </row>
    <row r="785" spans="1:16" ht="14.25">
      <c r="A785" s="10">
        <v>2017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6</v>
      </c>
      <c r="M785" s="8">
        <v>2023</v>
      </c>
      <c r="N785" s="9">
        <v>0</v>
      </c>
      <c r="O785" s="13">
        <v>42941</v>
      </c>
      <c r="P785" s="13">
        <v>42941</v>
      </c>
    </row>
    <row r="786" spans="1:16" ht="14.25">
      <c r="A786" s="10">
        <v>2017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0</v>
      </c>
      <c r="M786" s="8">
        <v>2017</v>
      </c>
      <c r="N786" s="9">
        <v>4977670</v>
      </c>
      <c r="O786" s="13">
        <v>42941</v>
      </c>
      <c r="P786" s="13">
        <v>42941</v>
      </c>
    </row>
    <row r="787" spans="1:16" ht="14.25">
      <c r="A787" s="10">
        <v>2017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9</v>
      </c>
      <c r="M787" s="8">
        <v>2026</v>
      </c>
      <c r="N787" s="9">
        <v>0</v>
      </c>
      <c r="O787" s="13">
        <v>42941</v>
      </c>
      <c r="P787" s="13">
        <v>42941</v>
      </c>
    </row>
    <row r="788" spans="1:16" ht="14.25">
      <c r="A788" s="10">
        <v>2017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2</v>
      </c>
      <c r="M788" s="8">
        <v>2019</v>
      </c>
      <c r="N788" s="9">
        <v>0</v>
      </c>
      <c r="O788" s="13">
        <v>42941</v>
      </c>
      <c r="P788" s="13">
        <v>42941</v>
      </c>
    </row>
    <row r="789" spans="1:16" ht="14.25">
      <c r="A789" s="10">
        <v>2017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3</v>
      </c>
      <c r="M789" s="8">
        <v>2020</v>
      </c>
      <c r="N789" s="9">
        <v>0</v>
      </c>
      <c r="O789" s="13">
        <v>42941</v>
      </c>
      <c r="P789" s="13">
        <v>42941</v>
      </c>
    </row>
    <row r="790" spans="1:16" ht="14.25">
      <c r="A790" s="10">
        <v>2017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5</v>
      </c>
      <c r="M790" s="8">
        <v>2022</v>
      </c>
      <c r="N790" s="9">
        <v>0</v>
      </c>
      <c r="O790" s="13">
        <v>42941</v>
      </c>
      <c r="P790" s="13">
        <v>42941</v>
      </c>
    </row>
    <row r="791" spans="1:16" ht="14.25">
      <c r="A791" s="10">
        <v>2017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4</v>
      </c>
      <c r="M791" s="8">
        <v>2021</v>
      </c>
      <c r="N791" s="9">
        <v>0</v>
      </c>
      <c r="O791" s="13">
        <v>42941</v>
      </c>
      <c r="P791" s="13">
        <v>42941</v>
      </c>
    </row>
    <row r="792" spans="1:16" ht="14.25">
      <c r="A792" s="10">
        <v>2017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7</v>
      </c>
      <c r="M792" s="8">
        <v>2024</v>
      </c>
      <c r="N792" s="9">
        <v>0</v>
      </c>
      <c r="O792" s="13">
        <v>42941</v>
      </c>
      <c r="P792" s="13">
        <v>42941</v>
      </c>
    </row>
    <row r="793" spans="1:16" ht="14.25">
      <c r="A793" s="10">
        <v>2017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1</v>
      </c>
      <c r="M793" s="8">
        <v>2018</v>
      </c>
      <c r="N793" s="9">
        <v>4553833</v>
      </c>
      <c r="O793" s="13">
        <v>42941</v>
      </c>
      <c r="P793" s="13">
        <v>42941</v>
      </c>
    </row>
    <row r="794" spans="1:16" ht="14.25">
      <c r="A794" s="10">
        <v>2017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9</v>
      </c>
      <c r="M794" s="8">
        <v>2026</v>
      </c>
      <c r="N794" s="9">
        <v>0</v>
      </c>
      <c r="O794" s="13">
        <v>42941</v>
      </c>
      <c r="P794" s="13">
        <v>42941</v>
      </c>
    </row>
    <row r="795" spans="1:16" ht="14.25">
      <c r="A795" s="10">
        <v>2017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7</v>
      </c>
      <c r="M795" s="8">
        <v>2024</v>
      </c>
      <c r="N795" s="9">
        <v>600000</v>
      </c>
      <c r="O795" s="13">
        <v>42941</v>
      </c>
      <c r="P795" s="13">
        <v>42941</v>
      </c>
    </row>
    <row r="796" spans="1:16" ht="14.25">
      <c r="A796" s="10">
        <v>2017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0</v>
      </c>
      <c r="M796" s="8">
        <v>2017</v>
      </c>
      <c r="N796" s="9">
        <v>1284382.19</v>
      </c>
      <c r="O796" s="13">
        <v>42941</v>
      </c>
      <c r="P796" s="13">
        <v>42941</v>
      </c>
    </row>
    <row r="797" spans="1:16" ht="14.25">
      <c r="A797" s="10">
        <v>2017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4</v>
      </c>
      <c r="M797" s="8">
        <v>2021</v>
      </c>
      <c r="N797" s="9">
        <v>1150000</v>
      </c>
      <c r="O797" s="13">
        <v>42941</v>
      </c>
      <c r="P797" s="13">
        <v>42941</v>
      </c>
    </row>
    <row r="798" spans="1:16" ht="14.25">
      <c r="A798" s="10">
        <v>2017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6</v>
      </c>
      <c r="M798" s="8">
        <v>2023</v>
      </c>
      <c r="N798" s="9">
        <v>700000</v>
      </c>
      <c r="O798" s="13">
        <v>42941</v>
      </c>
      <c r="P798" s="13">
        <v>42941</v>
      </c>
    </row>
    <row r="799" spans="1:16" ht="14.25">
      <c r="A799" s="10">
        <v>2017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5</v>
      </c>
      <c r="M799" s="8">
        <v>2022</v>
      </c>
      <c r="N799" s="9">
        <v>1100000</v>
      </c>
      <c r="O799" s="13">
        <v>42941</v>
      </c>
      <c r="P799" s="13">
        <v>42941</v>
      </c>
    </row>
    <row r="800" spans="1:16" ht="14.25">
      <c r="A800" s="10">
        <v>2017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3</v>
      </c>
      <c r="M800" s="8">
        <v>2020</v>
      </c>
      <c r="N800" s="9">
        <v>1100000</v>
      </c>
      <c r="O800" s="13">
        <v>42941</v>
      </c>
      <c r="P800" s="13">
        <v>42941</v>
      </c>
    </row>
    <row r="801" spans="1:16" ht="14.25">
      <c r="A801" s="10">
        <v>2017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1</v>
      </c>
      <c r="M801" s="8">
        <v>2018</v>
      </c>
      <c r="N801" s="9">
        <v>0</v>
      </c>
      <c r="O801" s="13">
        <v>42941</v>
      </c>
      <c r="P801" s="13">
        <v>42941</v>
      </c>
    </row>
    <row r="802" spans="1:16" ht="14.25">
      <c r="A802" s="10">
        <v>2017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2</v>
      </c>
      <c r="M802" s="8">
        <v>2019</v>
      </c>
      <c r="N802" s="9">
        <v>1150000</v>
      </c>
      <c r="O802" s="13">
        <v>42941</v>
      </c>
      <c r="P802" s="13">
        <v>42941</v>
      </c>
    </row>
    <row r="803" spans="1:16" ht="14.25">
      <c r="A803" s="10">
        <v>2017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8</v>
      </c>
      <c r="M803" s="8">
        <v>2025</v>
      </c>
      <c r="N803" s="9">
        <v>400000</v>
      </c>
      <c r="O803" s="13">
        <v>42941</v>
      </c>
      <c r="P803" s="13">
        <v>42941</v>
      </c>
    </row>
    <row r="804" spans="1:16" ht="14.25">
      <c r="A804" s="10">
        <v>2017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7</v>
      </c>
      <c r="M804" s="8">
        <v>2024</v>
      </c>
      <c r="N804" s="9">
        <v>0</v>
      </c>
      <c r="O804" s="13">
        <v>42941</v>
      </c>
      <c r="P804" s="13">
        <v>42941</v>
      </c>
    </row>
    <row r="805" spans="1:16" ht="14.25">
      <c r="A805" s="10">
        <v>2017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5</v>
      </c>
      <c r="M805" s="8">
        <v>2022</v>
      </c>
      <c r="N805" s="9">
        <v>0</v>
      </c>
      <c r="O805" s="13">
        <v>42941</v>
      </c>
      <c r="P805" s="13">
        <v>42941</v>
      </c>
    </row>
    <row r="806" spans="1:16" ht="14.25">
      <c r="A806" s="10">
        <v>2017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8</v>
      </c>
      <c r="M806" s="8">
        <v>2025</v>
      </c>
      <c r="N806" s="9">
        <v>0</v>
      </c>
      <c r="O806" s="13">
        <v>42941</v>
      </c>
      <c r="P806" s="13">
        <v>42941</v>
      </c>
    </row>
    <row r="807" spans="1:16" ht="14.25">
      <c r="A807" s="10">
        <v>2017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2</v>
      </c>
      <c r="M807" s="8">
        <v>2019</v>
      </c>
      <c r="N807" s="9">
        <v>0</v>
      </c>
      <c r="O807" s="13">
        <v>42941</v>
      </c>
      <c r="P807" s="13">
        <v>42941</v>
      </c>
    </row>
    <row r="808" spans="1:16" ht="14.25">
      <c r="A808" s="10">
        <v>2017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3</v>
      </c>
      <c r="M808" s="8">
        <v>2020</v>
      </c>
      <c r="N808" s="9">
        <v>0</v>
      </c>
      <c r="O808" s="13">
        <v>42941</v>
      </c>
      <c r="P808" s="13">
        <v>42941</v>
      </c>
    </row>
    <row r="809" spans="1:16" ht="14.25">
      <c r="A809" s="10">
        <v>2017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1</v>
      </c>
      <c r="M809" s="8">
        <v>2018</v>
      </c>
      <c r="N809" s="9">
        <v>0</v>
      </c>
      <c r="O809" s="13">
        <v>42941</v>
      </c>
      <c r="P809" s="13">
        <v>42941</v>
      </c>
    </row>
    <row r="810" spans="1:16" ht="14.25">
      <c r="A810" s="10">
        <v>2017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6</v>
      </c>
      <c r="M810" s="8">
        <v>2023</v>
      </c>
      <c r="N810" s="9">
        <v>0</v>
      </c>
      <c r="O810" s="13">
        <v>42941</v>
      </c>
      <c r="P810" s="13">
        <v>42941</v>
      </c>
    </row>
    <row r="811" spans="1:16" ht="14.25">
      <c r="A811" s="10">
        <v>2017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4</v>
      </c>
      <c r="M811" s="8">
        <v>2021</v>
      </c>
      <c r="N811" s="9">
        <v>0</v>
      </c>
      <c r="O811" s="13">
        <v>42941</v>
      </c>
      <c r="P811" s="13">
        <v>42941</v>
      </c>
    </row>
    <row r="812" spans="1:16" ht="14.25">
      <c r="A812" s="10">
        <v>2017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9</v>
      </c>
      <c r="M812" s="8">
        <v>2026</v>
      </c>
      <c r="N812" s="9">
        <v>0</v>
      </c>
      <c r="O812" s="13">
        <v>42941</v>
      </c>
      <c r="P812" s="13">
        <v>42941</v>
      </c>
    </row>
    <row r="813" spans="1:16" ht="14.25">
      <c r="A813" s="10">
        <v>2017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0</v>
      </c>
      <c r="M813" s="8">
        <v>2017</v>
      </c>
      <c r="N813" s="9">
        <v>0</v>
      </c>
      <c r="O813" s="13">
        <v>42941</v>
      </c>
      <c r="P813" s="13">
        <v>42941</v>
      </c>
    </row>
    <row r="814" spans="1:16" ht="14.25">
      <c r="A814" s="10">
        <v>2017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483</v>
      </c>
      <c r="K814" s="12" t="b">
        <v>1</v>
      </c>
      <c r="L814" s="12">
        <v>1</v>
      </c>
      <c r="M814" s="8">
        <v>2018</v>
      </c>
      <c r="N814" s="9">
        <v>0</v>
      </c>
      <c r="O814" s="13">
        <v>42941</v>
      </c>
      <c r="P814" s="13">
        <v>42941</v>
      </c>
    </row>
    <row r="815" spans="1:16" ht="14.25">
      <c r="A815" s="10">
        <v>2017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483</v>
      </c>
      <c r="K815" s="12" t="b">
        <v>1</v>
      </c>
      <c r="L815" s="12">
        <v>5</v>
      </c>
      <c r="M815" s="8">
        <v>2022</v>
      </c>
      <c r="N815" s="9">
        <v>0</v>
      </c>
      <c r="O815" s="13">
        <v>42941</v>
      </c>
      <c r="P815" s="13">
        <v>42941</v>
      </c>
    </row>
    <row r="816" spans="1:16" ht="14.25">
      <c r="A816" s="10">
        <v>2017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483</v>
      </c>
      <c r="K816" s="12" t="b">
        <v>1</v>
      </c>
      <c r="L816" s="12">
        <v>0</v>
      </c>
      <c r="M816" s="8">
        <v>2017</v>
      </c>
      <c r="N816" s="9">
        <v>0</v>
      </c>
      <c r="O816" s="13">
        <v>42941</v>
      </c>
      <c r="P816" s="13">
        <v>42941</v>
      </c>
    </row>
    <row r="817" spans="1:16" ht="14.25">
      <c r="A817" s="10">
        <v>2017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483</v>
      </c>
      <c r="K817" s="12" t="b">
        <v>1</v>
      </c>
      <c r="L817" s="12">
        <v>6</v>
      </c>
      <c r="M817" s="8">
        <v>2023</v>
      </c>
      <c r="N817" s="9">
        <v>0</v>
      </c>
      <c r="O817" s="13">
        <v>42941</v>
      </c>
      <c r="P817" s="13">
        <v>42941</v>
      </c>
    </row>
    <row r="818" spans="1:16" ht="14.25">
      <c r="A818" s="10">
        <v>2017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483</v>
      </c>
      <c r="K818" s="12" t="b">
        <v>1</v>
      </c>
      <c r="L818" s="12">
        <v>7</v>
      </c>
      <c r="M818" s="8">
        <v>2024</v>
      </c>
      <c r="N818" s="9">
        <v>0</v>
      </c>
      <c r="O818" s="13">
        <v>42941</v>
      </c>
      <c r="P818" s="13">
        <v>42941</v>
      </c>
    </row>
    <row r="819" spans="1:16" ht="14.25">
      <c r="A819" s="10">
        <v>2017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483</v>
      </c>
      <c r="K819" s="12" t="b">
        <v>1</v>
      </c>
      <c r="L819" s="12">
        <v>2</v>
      </c>
      <c r="M819" s="8">
        <v>2019</v>
      </c>
      <c r="N819" s="9">
        <v>0</v>
      </c>
      <c r="O819" s="13">
        <v>42941</v>
      </c>
      <c r="P819" s="13">
        <v>42941</v>
      </c>
    </row>
    <row r="820" spans="1:16" ht="14.25">
      <c r="A820" s="10">
        <v>2017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483</v>
      </c>
      <c r="K820" s="12" t="b">
        <v>1</v>
      </c>
      <c r="L820" s="12">
        <v>8</v>
      </c>
      <c r="M820" s="8">
        <v>2025</v>
      </c>
      <c r="N820" s="9">
        <v>0</v>
      </c>
      <c r="O820" s="13">
        <v>42941</v>
      </c>
      <c r="P820" s="13">
        <v>42941</v>
      </c>
    </row>
    <row r="821" spans="1:16" ht="14.25">
      <c r="A821" s="10">
        <v>2017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483</v>
      </c>
      <c r="K821" s="12" t="b">
        <v>1</v>
      </c>
      <c r="L821" s="12">
        <v>4</v>
      </c>
      <c r="M821" s="8">
        <v>2021</v>
      </c>
      <c r="N821" s="9">
        <v>0</v>
      </c>
      <c r="O821" s="13">
        <v>42941</v>
      </c>
      <c r="P821" s="13">
        <v>42941</v>
      </c>
    </row>
    <row r="822" spans="1:16" ht="14.25">
      <c r="A822" s="10">
        <v>2017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483</v>
      </c>
      <c r="K822" s="12" t="b">
        <v>1</v>
      </c>
      <c r="L822" s="12">
        <v>9</v>
      </c>
      <c r="M822" s="8">
        <v>2026</v>
      </c>
      <c r="N822" s="9">
        <v>0</v>
      </c>
      <c r="O822" s="13">
        <v>42941</v>
      </c>
      <c r="P822" s="13">
        <v>42941</v>
      </c>
    </row>
    <row r="823" spans="1:16" ht="14.25">
      <c r="A823" s="10">
        <v>2017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483</v>
      </c>
      <c r="K823" s="12" t="b">
        <v>1</v>
      </c>
      <c r="L823" s="12">
        <v>3</v>
      </c>
      <c r="M823" s="8">
        <v>2020</v>
      </c>
      <c r="N823" s="9">
        <v>0</v>
      </c>
      <c r="O823" s="13">
        <v>42941</v>
      </c>
      <c r="P823" s="13">
        <v>42941</v>
      </c>
    </row>
    <row r="824" spans="1:16" ht="14.25">
      <c r="A824" s="10">
        <v>2017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7</v>
      </c>
      <c r="M824" s="8">
        <v>2024</v>
      </c>
      <c r="N824" s="9">
        <v>0</v>
      </c>
      <c r="O824" s="13">
        <v>42941</v>
      </c>
      <c r="P824" s="13">
        <v>42941</v>
      </c>
    </row>
    <row r="825" spans="1:16" ht="14.25">
      <c r="A825" s="10">
        <v>2017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2</v>
      </c>
      <c r="M825" s="8">
        <v>2019</v>
      </c>
      <c r="N825" s="9">
        <v>0</v>
      </c>
      <c r="O825" s="13">
        <v>42941</v>
      </c>
      <c r="P825" s="13">
        <v>42941</v>
      </c>
    </row>
    <row r="826" spans="1:16" ht="14.25">
      <c r="A826" s="10">
        <v>2017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5</v>
      </c>
      <c r="M826" s="8">
        <v>2022</v>
      </c>
      <c r="N826" s="9">
        <v>0</v>
      </c>
      <c r="O826" s="13">
        <v>42941</v>
      </c>
      <c r="P826" s="13">
        <v>42941</v>
      </c>
    </row>
    <row r="827" spans="1:16" ht="14.25">
      <c r="A827" s="10">
        <v>2017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4</v>
      </c>
      <c r="M827" s="8">
        <v>2021</v>
      </c>
      <c r="N827" s="9">
        <v>0</v>
      </c>
      <c r="O827" s="13">
        <v>42941</v>
      </c>
      <c r="P827" s="13">
        <v>42941</v>
      </c>
    </row>
    <row r="828" spans="1:16" ht="14.25">
      <c r="A828" s="10">
        <v>2017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8</v>
      </c>
      <c r="M828" s="8">
        <v>2025</v>
      </c>
      <c r="N828" s="9">
        <v>0</v>
      </c>
      <c r="O828" s="13">
        <v>42941</v>
      </c>
      <c r="P828" s="13">
        <v>42941</v>
      </c>
    </row>
    <row r="829" spans="1:16" ht="14.25">
      <c r="A829" s="10">
        <v>2017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6</v>
      </c>
      <c r="M829" s="8">
        <v>2023</v>
      </c>
      <c r="N829" s="9">
        <v>0</v>
      </c>
      <c r="O829" s="13">
        <v>42941</v>
      </c>
      <c r="P829" s="13">
        <v>42941</v>
      </c>
    </row>
    <row r="830" spans="1:16" ht="14.25">
      <c r="A830" s="10">
        <v>2017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9</v>
      </c>
      <c r="M830" s="8">
        <v>2026</v>
      </c>
      <c r="N830" s="9">
        <v>0</v>
      </c>
      <c r="O830" s="13">
        <v>42941</v>
      </c>
      <c r="P830" s="13">
        <v>42941</v>
      </c>
    </row>
    <row r="831" spans="1:16" ht="14.25">
      <c r="A831" s="10">
        <v>2017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1</v>
      </c>
      <c r="M831" s="8">
        <v>2018</v>
      </c>
      <c r="N831" s="9">
        <v>0</v>
      </c>
      <c r="O831" s="13">
        <v>42941</v>
      </c>
      <c r="P831" s="13">
        <v>42941</v>
      </c>
    </row>
    <row r="832" spans="1:16" ht="14.25">
      <c r="A832" s="10">
        <v>2017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3</v>
      </c>
      <c r="M832" s="8">
        <v>2020</v>
      </c>
      <c r="N832" s="9">
        <v>0</v>
      </c>
      <c r="O832" s="13">
        <v>42941</v>
      </c>
      <c r="P832" s="13">
        <v>42941</v>
      </c>
    </row>
    <row r="833" spans="1:16" ht="14.25">
      <c r="A833" s="10">
        <v>2017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0</v>
      </c>
      <c r="M833" s="8">
        <v>2017</v>
      </c>
      <c r="N833" s="9">
        <v>0</v>
      </c>
      <c r="O833" s="13">
        <v>42941</v>
      </c>
      <c r="P833" s="13">
        <v>42941</v>
      </c>
    </row>
    <row r="834" spans="1:16" ht="14.25">
      <c r="A834" s="10">
        <v>2017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6</v>
      </c>
      <c r="M834" s="8">
        <v>2023</v>
      </c>
      <c r="N834" s="9">
        <v>0</v>
      </c>
      <c r="O834" s="13">
        <v>42941</v>
      </c>
      <c r="P834" s="13">
        <v>42941</v>
      </c>
    </row>
    <row r="835" spans="1:16" ht="14.25">
      <c r="A835" s="10">
        <v>2017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5</v>
      </c>
      <c r="M835" s="8">
        <v>2022</v>
      </c>
      <c r="N835" s="9">
        <v>0</v>
      </c>
      <c r="O835" s="13">
        <v>42941</v>
      </c>
      <c r="P835" s="13">
        <v>42941</v>
      </c>
    </row>
    <row r="836" spans="1:16" ht="14.25">
      <c r="A836" s="10">
        <v>2017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1</v>
      </c>
      <c r="M836" s="8">
        <v>2018</v>
      </c>
      <c r="N836" s="9">
        <v>0</v>
      </c>
      <c r="O836" s="13">
        <v>42941</v>
      </c>
      <c r="P836" s="13">
        <v>42941</v>
      </c>
    </row>
    <row r="837" spans="1:16" ht="14.25">
      <c r="A837" s="10">
        <v>2017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8</v>
      </c>
      <c r="M837" s="8">
        <v>2025</v>
      </c>
      <c r="N837" s="9">
        <v>0</v>
      </c>
      <c r="O837" s="13">
        <v>42941</v>
      </c>
      <c r="P837" s="13">
        <v>42941</v>
      </c>
    </row>
    <row r="838" spans="1:16" ht="14.25">
      <c r="A838" s="10">
        <v>2017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0</v>
      </c>
      <c r="M838" s="8">
        <v>2017</v>
      </c>
      <c r="N838" s="9">
        <v>0</v>
      </c>
      <c r="O838" s="13">
        <v>42941</v>
      </c>
      <c r="P838" s="13">
        <v>42941</v>
      </c>
    </row>
    <row r="839" spans="1:16" ht="14.25">
      <c r="A839" s="10">
        <v>2017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2</v>
      </c>
      <c r="M839" s="8">
        <v>2019</v>
      </c>
      <c r="N839" s="9">
        <v>0</v>
      </c>
      <c r="O839" s="13">
        <v>42941</v>
      </c>
      <c r="P839" s="13">
        <v>42941</v>
      </c>
    </row>
    <row r="840" spans="1:16" ht="14.25">
      <c r="A840" s="10">
        <v>2017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4</v>
      </c>
      <c r="M840" s="8">
        <v>2021</v>
      </c>
      <c r="N840" s="9">
        <v>0</v>
      </c>
      <c r="O840" s="13">
        <v>42941</v>
      </c>
      <c r="P840" s="13">
        <v>42941</v>
      </c>
    </row>
    <row r="841" spans="1:16" ht="14.25">
      <c r="A841" s="10">
        <v>2017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7</v>
      </c>
      <c r="M841" s="8">
        <v>2024</v>
      </c>
      <c r="N841" s="9">
        <v>0</v>
      </c>
      <c r="O841" s="13">
        <v>42941</v>
      </c>
      <c r="P841" s="13">
        <v>42941</v>
      </c>
    </row>
    <row r="842" spans="1:16" ht="14.25">
      <c r="A842" s="10">
        <v>2017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3</v>
      </c>
      <c r="M842" s="8">
        <v>2020</v>
      </c>
      <c r="N842" s="9">
        <v>0</v>
      </c>
      <c r="O842" s="13">
        <v>42941</v>
      </c>
      <c r="P842" s="13">
        <v>42941</v>
      </c>
    </row>
    <row r="843" spans="1:16" ht="14.25">
      <c r="A843" s="10">
        <v>2017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9</v>
      </c>
      <c r="M843" s="8">
        <v>2026</v>
      </c>
      <c r="N843" s="9">
        <v>0</v>
      </c>
      <c r="O843" s="13">
        <v>42941</v>
      </c>
      <c r="P843" s="13">
        <v>42941</v>
      </c>
    </row>
    <row r="844" spans="1:16" ht="14.25">
      <c r="A844" s="10">
        <v>2017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4</v>
      </c>
      <c r="M844" s="8">
        <v>2021</v>
      </c>
      <c r="N844" s="9">
        <v>537000</v>
      </c>
      <c r="O844" s="13">
        <v>42941</v>
      </c>
      <c r="P844" s="13">
        <v>42941</v>
      </c>
    </row>
    <row r="845" spans="1:16" ht="14.25">
      <c r="A845" s="10">
        <v>2017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0</v>
      </c>
      <c r="M845" s="8">
        <v>2017</v>
      </c>
      <c r="N845" s="9">
        <v>0</v>
      </c>
      <c r="O845" s="13">
        <v>42941</v>
      </c>
      <c r="P845" s="13">
        <v>42941</v>
      </c>
    </row>
    <row r="846" spans="1:16" ht="14.25">
      <c r="A846" s="10">
        <v>2017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1</v>
      </c>
      <c r="M846" s="8">
        <v>2018</v>
      </c>
      <c r="N846" s="9">
        <v>0</v>
      </c>
      <c r="O846" s="13">
        <v>42941</v>
      </c>
      <c r="P846" s="13">
        <v>42941</v>
      </c>
    </row>
    <row r="847" spans="1:16" ht="14.25">
      <c r="A847" s="10">
        <v>2017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7</v>
      </c>
      <c r="M847" s="8">
        <v>2024</v>
      </c>
      <c r="N847" s="9">
        <v>700000</v>
      </c>
      <c r="O847" s="13">
        <v>42941</v>
      </c>
      <c r="P847" s="13">
        <v>42941</v>
      </c>
    </row>
    <row r="848" spans="1:16" ht="14.25">
      <c r="A848" s="10">
        <v>2017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6</v>
      </c>
      <c r="M848" s="8">
        <v>2023</v>
      </c>
      <c r="N848" s="9">
        <v>700000</v>
      </c>
      <c r="O848" s="13">
        <v>42941</v>
      </c>
      <c r="P848" s="13">
        <v>42941</v>
      </c>
    </row>
    <row r="849" spans="1:16" ht="14.25">
      <c r="A849" s="10">
        <v>2017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8</v>
      </c>
      <c r="M849" s="8">
        <v>2025</v>
      </c>
      <c r="N849" s="9">
        <v>556457</v>
      </c>
      <c r="O849" s="13">
        <v>42941</v>
      </c>
      <c r="P849" s="13">
        <v>42941</v>
      </c>
    </row>
    <row r="850" spans="1:16" ht="14.25">
      <c r="A850" s="10">
        <v>2017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5</v>
      </c>
      <c r="M850" s="8">
        <v>2022</v>
      </c>
      <c r="N850" s="9">
        <v>500000</v>
      </c>
      <c r="O850" s="13">
        <v>42941</v>
      </c>
      <c r="P850" s="13">
        <v>42941</v>
      </c>
    </row>
    <row r="851" spans="1:16" ht="14.25">
      <c r="A851" s="10">
        <v>2017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3</v>
      </c>
      <c r="M851" s="8">
        <v>2020</v>
      </c>
      <c r="N851" s="9">
        <v>556076</v>
      </c>
      <c r="O851" s="13">
        <v>42941</v>
      </c>
      <c r="P851" s="13">
        <v>42941</v>
      </c>
    </row>
    <row r="852" spans="1:16" ht="14.25">
      <c r="A852" s="10">
        <v>2017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2</v>
      </c>
      <c r="M852" s="8">
        <v>2019</v>
      </c>
      <c r="N852" s="9">
        <v>2896023</v>
      </c>
      <c r="O852" s="13">
        <v>42941</v>
      </c>
      <c r="P852" s="13">
        <v>42941</v>
      </c>
    </row>
    <row r="853" spans="1:16" ht="14.25">
      <c r="A853" s="10">
        <v>2017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9</v>
      </c>
      <c r="M853" s="8">
        <v>2026</v>
      </c>
      <c r="N853" s="9">
        <v>0</v>
      </c>
      <c r="O853" s="13">
        <v>42941</v>
      </c>
      <c r="P853" s="13">
        <v>42941</v>
      </c>
    </row>
    <row r="854" spans="1:16" ht="14.25">
      <c r="A854" s="10">
        <v>2017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5</v>
      </c>
      <c r="M854" s="8">
        <v>2022</v>
      </c>
      <c r="N854" s="9">
        <v>0</v>
      </c>
      <c r="O854" s="13">
        <v>42941</v>
      </c>
      <c r="P854" s="13">
        <v>42941</v>
      </c>
    </row>
    <row r="855" spans="1:16" ht="14.25">
      <c r="A855" s="10">
        <v>2017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4</v>
      </c>
      <c r="M855" s="8">
        <v>2021</v>
      </c>
      <c r="N855" s="9">
        <v>0</v>
      </c>
      <c r="O855" s="13">
        <v>42941</v>
      </c>
      <c r="P855" s="13">
        <v>42941</v>
      </c>
    </row>
    <row r="856" spans="1:16" ht="14.25">
      <c r="A856" s="10">
        <v>2017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0</v>
      </c>
      <c r="M856" s="8">
        <v>2017</v>
      </c>
      <c r="N856" s="9">
        <v>242250</v>
      </c>
      <c r="O856" s="13">
        <v>42941</v>
      </c>
      <c r="P856" s="13">
        <v>42941</v>
      </c>
    </row>
    <row r="857" spans="1:16" ht="14.25">
      <c r="A857" s="10">
        <v>2017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7</v>
      </c>
      <c r="M857" s="8">
        <v>2024</v>
      </c>
      <c r="N857" s="9">
        <v>0</v>
      </c>
      <c r="O857" s="13">
        <v>42941</v>
      </c>
      <c r="P857" s="13">
        <v>42941</v>
      </c>
    </row>
    <row r="858" spans="1:16" ht="14.25">
      <c r="A858" s="10">
        <v>2017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9</v>
      </c>
      <c r="M858" s="8">
        <v>2026</v>
      </c>
      <c r="N858" s="9">
        <v>0</v>
      </c>
      <c r="O858" s="13">
        <v>42941</v>
      </c>
      <c r="P858" s="13">
        <v>42941</v>
      </c>
    </row>
    <row r="859" spans="1:16" ht="14.25">
      <c r="A859" s="10">
        <v>2017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2</v>
      </c>
      <c r="M859" s="8">
        <v>2019</v>
      </c>
      <c r="N859" s="9">
        <v>2416023</v>
      </c>
      <c r="O859" s="13">
        <v>42941</v>
      </c>
      <c r="P859" s="13">
        <v>42941</v>
      </c>
    </row>
    <row r="860" spans="1:16" ht="14.25">
      <c r="A860" s="10">
        <v>2017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1</v>
      </c>
      <c r="M860" s="8">
        <v>2018</v>
      </c>
      <c r="N860" s="9">
        <v>2731444</v>
      </c>
      <c r="O860" s="13">
        <v>42941</v>
      </c>
      <c r="P860" s="13">
        <v>42941</v>
      </c>
    </row>
    <row r="861" spans="1:16" ht="14.25">
      <c r="A861" s="10">
        <v>2017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8</v>
      </c>
      <c r="M861" s="8">
        <v>2025</v>
      </c>
      <c r="N861" s="9">
        <v>0</v>
      </c>
      <c r="O861" s="13">
        <v>42941</v>
      </c>
      <c r="P861" s="13">
        <v>42941</v>
      </c>
    </row>
    <row r="862" spans="1:16" ht="14.25">
      <c r="A862" s="10">
        <v>2017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6</v>
      </c>
      <c r="M862" s="8">
        <v>2023</v>
      </c>
      <c r="N862" s="9">
        <v>0</v>
      </c>
      <c r="O862" s="13">
        <v>42941</v>
      </c>
      <c r="P862" s="13">
        <v>42941</v>
      </c>
    </row>
    <row r="863" spans="1:16" ht="14.25">
      <c r="A863" s="10">
        <v>2017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3</v>
      </c>
      <c r="M863" s="8">
        <v>2020</v>
      </c>
      <c r="N863" s="9">
        <v>0</v>
      </c>
      <c r="O863" s="13">
        <v>42941</v>
      </c>
      <c r="P863" s="13">
        <v>42941</v>
      </c>
    </row>
    <row r="864" spans="1:16" ht="14.25">
      <c r="A864" s="10">
        <v>2017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480</v>
      </c>
      <c r="H864" s="12">
        <v>9.2</v>
      </c>
      <c r="I864" s="12" t="s">
        <v>361</v>
      </c>
      <c r="J864" s="12" t="s">
        <v>362</v>
      </c>
      <c r="K864" s="12" t="b">
        <v>0</v>
      </c>
      <c r="L864" s="12">
        <v>5</v>
      </c>
      <c r="M864" s="8">
        <v>2022</v>
      </c>
      <c r="N864" s="9">
        <v>0.0208</v>
      </c>
      <c r="O864" s="13">
        <v>42941</v>
      </c>
      <c r="P864" s="13">
        <v>42941</v>
      </c>
    </row>
    <row r="865" spans="1:16" ht="14.25">
      <c r="A865" s="10">
        <v>2017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480</v>
      </c>
      <c r="H865" s="12">
        <v>9.2</v>
      </c>
      <c r="I865" s="12" t="s">
        <v>361</v>
      </c>
      <c r="J865" s="12" t="s">
        <v>362</v>
      </c>
      <c r="K865" s="12" t="b">
        <v>0</v>
      </c>
      <c r="L865" s="12">
        <v>4</v>
      </c>
      <c r="M865" s="8">
        <v>2021</v>
      </c>
      <c r="N865" s="9">
        <v>0.0234</v>
      </c>
      <c r="O865" s="13">
        <v>42941</v>
      </c>
      <c r="P865" s="13">
        <v>42941</v>
      </c>
    </row>
    <row r="866" spans="1:16" ht="14.25">
      <c r="A866" s="10">
        <v>2017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820</v>
      </c>
      <c r="H866" s="12">
        <v>13.3</v>
      </c>
      <c r="I866" s="12"/>
      <c r="J866" s="12" t="s">
        <v>117</v>
      </c>
      <c r="K866" s="12" t="b">
        <v>1</v>
      </c>
      <c r="L866" s="12">
        <v>7</v>
      </c>
      <c r="M866" s="8">
        <v>2024</v>
      </c>
      <c r="N866" s="9">
        <v>0</v>
      </c>
      <c r="O866" s="13">
        <v>42941</v>
      </c>
      <c r="P866" s="13">
        <v>42941</v>
      </c>
    </row>
    <row r="867" spans="1:16" ht="14.25">
      <c r="A867" s="10">
        <v>2017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2</v>
      </c>
      <c r="M867" s="8">
        <v>2019</v>
      </c>
      <c r="N867" s="9">
        <v>0.0242</v>
      </c>
      <c r="O867" s="13">
        <v>42941</v>
      </c>
      <c r="P867" s="13">
        <v>42941</v>
      </c>
    </row>
    <row r="868" spans="1:16" ht="14.25">
      <c r="A868" s="10">
        <v>2017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7</v>
      </c>
      <c r="M868" s="8">
        <v>2024</v>
      </c>
      <c r="N868" s="9">
        <v>0.0225</v>
      </c>
      <c r="O868" s="13">
        <v>42941</v>
      </c>
      <c r="P868" s="13">
        <v>42941</v>
      </c>
    </row>
    <row r="869" spans="1:16" ht="14.25">
      <c r="A869" s="10">
        <v>2017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6</v>
      </c>
      <c r="M869" s="8">
        <v>2023</v>
      </c>
      <c r="N869" s="9">
        <v>0.0238</v>
      </c>
      <c r="O869" s="13">
        <v>42941</v>
      </c>
      <c r="P869" s="13">
        <v>42941</v>
      </c>
    </row>
    <row r="870" spans="1:16" ht="14.25">
      <c r="A870" s="10">
        <v>2017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0</v>
      </c>
      <c r="M870" s="8">
        <v>2017</v>
      </c>
      <c r="N870" s="9">
        <v>0.0158</v>
      </c>
      <c r="O870" s="13">
        <v>42941</v>
      </c>
      <c r="P870" s="13">
        <v>42941</v>
      </c>
    </row>
    <row r="871" spans="1:16" ht="14.25">
      <c r="A871" s="10">
        <v>2017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3</v>
      </c>
      <c r="M871" s="8">
        <v>2020</v>
      </c>
      <c r="N871" s="9">
        <v>0.0263</v>
      </c>
      <c r="O871" s="13">
        <v>42941</v>
      </c>
      <c r="P871" s="13">
        <v>42941</v>
      </c>
    </row>
    <row r="872" spans="1:16" ht="14.25">
      <c r="A872" s="10">
        <v>2017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480</v>
      </c>
      <c r="H872" s="12">
        <v>9.2</v>
      </c>
      <c r="I872" s="12" t="s">
        <v>361</v>
      </c>
      <c r="J872" s="12" t="s">
        <v>362</v>
      </c>
      <c r="K872" s="12" t="b">
        <v>0</v>
      </c>
      <c r="L872" s="12">
        <v>1</v>
      </c>
      <c r="M872" s="8">
        <v>2018</v>
      </c>
      <c r="N872" s="9">
        <v>0.0204</v>
      </c>
      <c r="O872" s="13">
        <v>42941</v>
      </c>
      <c r="P872" s="13">
        <v>42941</v>
      </c>
    </row>
    <row r="873" spans="1:16" ht="14.25">
      <c r="A873" s="10">
        <v>2017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480</v>
      </c>
      <c r="H873" s="12">
        <v>9.2</v>
      </c>
      <c r="I873" s="12" t="s">
        <v>361</v>
      </c>
      <c r="J873" s="12" t="s">
        <v>362</v>
      </c>
      <c r="K873" s="12" t="b">
        <v>0</v>
      </c>
      <c r="L873" s="12">
        <v>8</v>
      </c>
      <c r="M873" s="8">
        <v>2025</v>
      </c>
      <c r="N873" s="9">
        <v>0.0169</v>
      </c>
      <c r="O873" s="13">
        <v>42941</v>
      </c>
      <c r="P873" s="13">
        <v>42941</v>
      </c>
    </row>
    <row r="874" spans="1:16" ht="14.25">
      <c r="A874" s="10">
        <v>2017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9</v>
      </c>
      <c r="M874" s="8">
        <v>2026</v>
      </c>
      <c r="N874" s="9">
        <v>0</v>
      </c>
      <c r="O874" s="13">
        <v>42941</v>
      </c>
      <c r="P874" s="13">
        <v>42941</v>
      </c>
    </row>
    <row r="875" spans="1:16" ht="14.25">
      <c r="A875" s="10">
        <v>2017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820</v>
      </c>
      <c r="H875" s="12">
        <v>13.3</v>
      </c>
      <c r="I875" s="12"/>
      <c r="J875" s="12" t="s">
        <v>117</v>
      </c>
      <c r="K875" s="12" t="b">
        <v>1</v>
      </c>
      <c r="L875" s="12">
        <v>9</v>
      </c>
      <c r="M875" s="8">
        <v>2026</v>
      </c>
      <c r="N875" s="9">
        <v>0</v>
      </c>
      <c r="O875" s="13">
        <v>42941</v>
      </c>
      <c r="P875" s="13">
        <v>42941</v>
      </c>
    </row>
    <row r="876" spans="1:16" ht="14.25">
      <c r="A876" s="10">
        <v>2017</v>
      </c>
      <c r="B876" s="11" t="s">
        <v>476</v>
      </c>
      <c r="C876" s="11" t="s">
        <v>477</v>
      </c>
      <c r="D876" s="12">
        <v>3007042</v>
      </c>
      <c r="E876" s="12">
        <v>2</v>
      </c>
      <c r="F876" s="12"/>
      <c r="G876" s="12">
        <v>820</v>
      </c>
      <c r="H876" s="12">
        <v>13.3</v>
      </c>
      <c r="I876" s="12"/>
      <c r="J876" s="12" t="s">
        <v>117</v>
      </c>
      <c r="K876" s="12" t="b">
        <v>1</v>
      </c>
      <c r="L876" s="12">
        <v>1</v>
      </c>
      <c r="M876" s="8">
        <v>2018</v>
      </c>
      <c r="N876" s="9">
        <v>0</v>
      </c>
      <c r="O876" s="13">
        <v>42941</v>
      </c>
      <c r="P876" s="13">
        <v>42941</v>
      </c>
    </row>
    <row r="877" spans="1:16" ht="14.25">
      <c r="A877" s="10">
        <v>2017</v>
      </c>
      <c r="B877" s="11" t="s">
        <v>476</v>
      </c>
      <c r="C877" s="11" t="s">
        <v>477</v>
      </c>
      <c r="D877" s="12">
        <v>3007042</v>
      </c>
      <c r="E877" s="12">
        <v>2</v>
      </c>
      <c r="F877" s="12"/>
      <c r="G877" s="12">
        <v>820</v>
      </c>
      <c r="H877" s="12">
        <v>13.3</v>
      </c>
      <c r="I877" s="12"/>
      <c r="J877" s="12" t="s">
        <v>117</v>
      </c>
      <c r="K877" s="12" t="b">
        <v>1</v>
      </c>
      <c r="L877" s="12">
        <v>0</v>
      </c>
      <c r="M877" s="8">
        <v>2017</v>
      </c>
      <c r="N877" s="9">
        <v>0</v>
      </c>
      <c r="O877" s="13">
        <v>42941</v>
      </c>
      <c r="P877" s="13">
        <v>42941</v>
      </c>
    </row>
    <row r="878" spans="1:16" ht="14.25">
      <c r="A878" s="10">
        <v>2017</v>
      </c>
      <c r="B878" s="11" t="s">
        <v>476</v>
      </c>
      <c r="C878" s="11" t="s">
        <v>477</v>
      </c>
      <c r="D878" s="12">
        <v>3007042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8</v>
      </c>
      <c r="M878" s="8">
        <v>2025</v>
      </c>
      <c r="N878" s="9">
        <v>0</v>
      </c>
      <c r="O878" s="13">
        <v>42941</v>
      </c>
      <c r="P878" s="13">
        <v>42941</v>
      </c>
    </row>
    <row r="879" spans="1:16" ht="14.25">
      <c r="A879" s="10">
        <v>2017</v>
      </c>
      <c r="B879" s="11" t="s">
        <v>476</v>
      </c>
      <c r="C879" s="11" t="s">
        <v>477</v>
      </c>
      <c r="D879" s="12">
        <v>3007042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5</v>
      </c>
      <c r="M879" s="8">
        <v>2022</v>
      </c>
      <c r="N879" s="9">
        <v>0</v>
      </c>
      <c r="O879" s="13">
        <v>42941</v>
      </c>
      <c r="P879" s="13">
        <v>42941</v>
      </c>
    </row>
    <row r="880" spans="1:16" ht="14.25">
      <c r="A880" s="10">
        <v>2017</v>
      </c>
      <c r="B880" s="11" t="s">
        <v>476</v>
      </c>
      <c r="C880" s="11" t="s">
        <v>477</v>
      </c>
      <c r="D880" s="12">
        <v>3007042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3</v>
      </c>
      <c r="M880" s="8">
        <v>2020</v>
      </c>
      <c r="N880" s="9">
        <v>0</v>
      </c>
      <c r="O880" s="13">
        <v>42941</v>
      </c>
      <c r="P880" s="13">
        <v>42941</v>
      </c>
    </row>
    <row r="881" spans="1:16" ht="14.25">
      <c r="A881" s="10">
        <v>2017</v>
      </c>
      <c r="B881" s="11" t="s">
        <v>476</v>
      </c>
      <c r="C881" s="11" t="s">
        <v>477</v>
      </c>
      <c r="D881" s="12">
        <v>3007042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4</v>
      </c>
      <c r="M881" s="8">
        <v>2021</v>
      </c>
      <c r="N881" s="9">
        <v>0</v>
      </c>
      <c r="O881" s="13">
        <v>42941</v>
      </c>
      <c r="P881" s="13">
        <v>42941</v>
      </c>
    </row>
    <row r="882" spans="1:16" ht="14.25">
      <c r="A882" s="10">
        <v>2017</v>
      </c>
      <c r="B882" s="11" t="s">
        <v>476</v>
      </c>
      <c r="C882" s="11" t="s">
        <v>477</v>
      </c>
      <c r="D882" s="12">
        <v>3007042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6</v>
      </c>
      <c r="M882" s="8">
        <v>2023</v>
      </c>
      <c r="N882" s="9">
        <v>0</v>
      </c>
      <c r="O882" s="13">
        <v>42941</v>
      </c>
      <c r="P882" s="13">
        <v>42941</v>
      </c>
    </row>
    <row r="883" spans="1:16" ht="14.25">
      <c r="A883" s="10">
        <v>2017</v>
      </c>
      <c r="B883" s="11" t="s">
        <v>476</v>
      </c>
      <c r="C883" s="11" t="s">
        <v>477</v>
      </c>
      <c r="D883" s="12">
        <v>3007042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2</v>
      </c>
      <c r="M883" s="8">
        <v>2019</v>
      </c>
      <c r="N883" s="9">
        <v>0</v>
      </c>
      <c r="O883" s="13">
        <v>42941</v>
      </c>
      <c r="P883" s="13">
        <v>42941</v>
      </c>
    </row>
    <row r="884" spans="1:16" ht="14.25">
      <c r="A884" s="10">
        <v>2017</v>
      </c>
      <c r="B884" s="11" t="s">
        <v>476</v>
      </c>
      <c r="C884" s="11" t="s">
        <v>477</v>
      </c>
      <c r="D884" s="12">
        <v>3007042</v>
      </c>
      <c r="E884" s="12">
        <v>2</v>
      </c>
      <c r="F884" s="12"/>
      <c r="G884" s="12">
        <v>30</v>
      </c>
      <c r="H884" s="12" t="s">
        <v>37</v>
      </c>
      <c r="I884" s="12"/>
      <c r="J884" s="12" t="s">
        <v>38</v>
      </c>
      <c r="K884" s="12" t="b">
        <v>1</v>
      </c>
      <c r="L884" s="12">
        <v>4</v>
      </c>
      <c r="M884" s="8">
        <v>2021</v>
      </c>
      <c r="N884" s="9">
        <v>5275000</v>
      </c>
      <c r="O884" s="13">
        <v>42941</v>
      </c>
      <c r="P884" s="13">
        <v>42941</v>
      </c>
    </row>
    <row r="885" spans="1:16" ht="14.25">
      <c r="A885" s="10">
        <v>2017</v>
      </c>
      <c r="B885" s="11" t="s">
        <v>476</v>
      </c>
      <c r="C885" s="11" t="s">
        <v>477</v>
      </c>
      <c r="D885" s="12">
        <v>3007042</v>
      </c>
      <c r="E885" s="12">
        <v>2</v>
      </c>
      <c r="F885" s="12"/>
      <c r="G885" s="12">
        <v>30</v>
      </c>
      <c r="H885" s="12" t="s">
        <v>37</v>
      </c>
      <c r="I885" s="12"/>
      <c r="J885" s="12" t="s">
        <v>38</v>
      </c>
      <c r="K885" s="12" t="b">
        <v>1</v>
      </c>
      <c r="L885" s="12">
        <v>2</v>
      </c>
      <c r="M885" s="8">
        <v>2019</v>
      </c>
      <c r="N885" s="9">
        <v>5211800</v>
      </c>
      <c r="O885" s="13">
        <v>42941</v>
      </c>
      <c r="P885" s="13">
        <v>42941</v>
      </c>
    </row>
    <row r="886" spans="1:16" ht="14.25">
      <c r="A886" s="10">
        <v>2017</v>
      </c>
      <c r="B886" s="11" t="s">
        <v>476</v>
      </c>
      <c r="C886" s="11" t="s">
        <v>477</v>
      </c>
      <c r="D886" s="12">
        <v>3007042</v>
      </c>
      <c r="E886" s="12">
        <v>2</v>
      </c>
      <c r="F886" s="12"/>
      <c r="G886" s="12">
        <v>30</v>
      </c>
      <c r="H886" s="12" t="s">
        <v>37</v>
      </c>
      <c r="I886" s="12"/>
      <c r="J886" s="12" t="s">
        <v>38</v>
      </c>
      <c r="K886" s="12" t="b">
        <v>1</v>
      </c>
      <c r="L886" s="12">
        <v>0</v>
      </c>
      <c r="M886" s="8">
        <v>2017</v>
      </c>
      <c r="N886" s="9">
        <v>5093535</v>
      </c>
      <c r="O886" s="13">
        <v>42941</v>
      </c>
      <c r="P886" s="13">
        <v>42941</v>
      </c>
    </row>
    <row r="887" spans="1:16" ht="14.25">
      <c r="A887" s="10">
        <v>2017</v>
      </c>
      <c r="B887" s="11" t="s">
        <v>476</v>
      </c>
      <c r="C887" s="11" t="s">
        <v>477</v>
      </c>
      <c r="D887" s="12">
        <v>3007042</v>
      </c>
      <c r="E887" s="12">
        <v>2</v>
      </c>
      <c r="F887" s="12"/>
      <c r="G887" s="12">
        <v>30</v>
      </c>
      <c r="H887" s="12" t="s">
        <v>37</v>
      </c>
      <c r="I887" s="12"/>
      <c r="J887" s="12" t="s">
        <v>38</v>
      </c>
      <c r="K887" s="12" t="b">
        <v>1</v>
      </c>
      <c r="L887" s="12">
        <v>6</v>
      </c>
      <c r="M887" s="8">
        <v>2023</v>
      </c>
      <c r="N887" s="9">
        <v>5275000</v>
      </c>
      <c r="O887" s="13">
        <v>42941</v>
      </c>
      <c r="P887" s="13">
        <v>42941</v>
      </c>
    </row>
    <row r="888" spans="1:16" ht="14.25">
      <c r="A888" s="10">
        <v>2017</v>
      </c>
      <c r="B888" s="11" t="s">
        <v>476</v>
      </c>
      <c r="C888" s="11" t="s">
        <v>477</v>
      </c>
      <c r="D888" s="12">
        <v>3007042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7</v>
      </c>
      <c r="M888" s="8">
        <v>2024</v>
      </c>
      <c r="N888" s="9">
        <v>5275000</v>
      </c>
      <c r="O888" s="13">
        <v>42941</v>
      </c>
      <c r="P888" s="13">
        <v>42941</v>
      </c>
    </row>
    <row r="889" spans="1:16" ht="14.25">
      <c r="A889" s="10">
        <v>2017</v>
      </c>
      <c r="B889" s="11" t="s">
        <v>476</v>
      </c>
      <c r="C889" s="11" t="s">
        <v>477</v>
      </c>
      <c r="D889" s="12">
        <v>3007042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9</v>
      </c>
      <c r="M889" s="8">
        <v>2026</v>
      </c>
      <c r="N889" s="9">
        <v>5275000</v>
      </c>
      <c r="O889" s="13">
        <v>42941</v>
      </c>
      <c r="P889" s="13">
        <v>42941</v>
      </c>
    </row>
    <row r="890" spans="1:16" ht="14.25">
      <c r="A890" s="10">
        <v>2017</v>
      </c>
      <c r="B890" s="11" t="s">
        <v>476</v>
      </c>
      <c r="C890" s="11" t="s">
        <v>477</v>
      </c>
      <c r="D890" s="12">
        <v>3007042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1</v>
      </c>
      <c r="M890" s="8">
        <v>2018</v>
      </c>
      <c r="N890" s="9">
        <v>5150000</v>
      </c>
      <c r="O890" s="13">
        <v>42941</v>
      </c>
      <c r="P890" s="13">
        <v>42941</v>
      </c>
    </row>
    <row r="891" spans="1:16" ht="14.25">
      <c r="A891" s="10">
        <v>2017</v>
      </c>
      <c r="B891" s="11" t="s">
        <v>476</v>
      </c>
      <c r="C891" s="11" t="s">
        <v>477</v>
      </c>
      <c r="D891" s="12">
        <v>3007042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3</v>
      </c>
      <c r="M891" s="8">
        <v>2020</v>
      </c>
      <c r="N891" s="9">
        <v>5275000</v>
      </c>
      <c r="O891" s="13">
        <v>42941</v>
      </c>
      <c r="P891" s="13">
        <v>42941</v>
      </c>
    </row>
    <row r="892" spans="1:16" ht="14.25">
      <c r="A892" s="10">
        <v>2017</v>
      </c>
      <c r="B892" s="11" t="s">
        <v>476</v>
      </c>
      <c r="C892" s="11" t="s">
        <v>477</v>
      </c>
      <c r="D892" s="12">
        <v>3007042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8</v>
      </c>
      <c r="M892" s="8">
        <v>2025</v>
      </c>
      <c r="N892" s="9">
        <v>5275000</v>
      </c>
      <c r="O892" s="13">
        <v>42941</v>
      </c>
      <c r="P892" s="13">
        <v>42941</v>
      </c>
    </row>
    <row r="893" spans="1:16" ht="14.25">
      <c r="A893" s="10">
        <v>2017</v>
      </c>
      <c r="B893" s="11" t="s">
        <v>476</v>
      </c>
      <c r="C893" s="11" t="s">
        <v>477</v>
      </c>
      <c r="D893" s="12">
        <v>3007042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5</v>
      </c>
      <c r="M893" s="8">
        <v>2022</v>
      </c>
      <c r="N893" s="9">
        <v>5275000</v>
      </c>
      <c r="O893" s="13">
        <v>42941</v>
      </c>
      <c r="P893" s="13">
        <v>42941</v>
      </c>
    </row>
    <row r="894" spans="1:16" ht="14.25">
      <c r="A894" s="10">
        <v>2017</v>
      </c>
      <c r="B894" s="11" t="s">
        <v>476</v>
      </c>
      <c r="C894" s="11" t="s">
        <v>477</v>
      </c>
      <c r="D894" s="12">
        <v>3007042</v>
      </c>
      <c r="E894" s="12">
        <v>2</v>
      </c>
      <c r="F894" s="12"/>
      <c r="G894" s="12">
        <v>200</v>
      </c>
      <c r="H894" s="12">
        <v>3</v>
      </c>
      <c r="I894" s="12" t="s">
        <v>346</v>
      </c>
      <c r="J894" s="12" t="s">
        <v>21</v>
      </c>
      <c r="K894" s="12" t="b">
        <v>0</v>
      </c>
      <c r="L894" s="12">
        <v>1</v>
      </c>
      <c r="M894" s="8">
        <v>2018</v>
      </c>
      <c r="N894" s="9">
        <v>-1543247</v>
      </c>
      <c r="O894" s="13">
        <v>42941</v>
      </c>
      <c r="P894" s="13">
        <v>42941</v>
      </c>
    </row>
    <row r="895" spans="1:16" ht="14.25">
      <c r="A895" s="10">
        <v>2017</v>
      </c>
      <c r="B895" s="11" t="s">
        <v>476</v>
      </c>
      <c r="C895" s="11" t="s">
        <v>477</v>
      </c>
      <c r="D895" s="12">
        <v>3007042</v>
      </c>
      <c r="E895" s="12">
        <v>2</v>
      </c>
      <c r="F895" s="12"/>
      <c r="G895" s="12">
        <v>200</v>
      </c>
      <c r="H895" s="12">
        <v>3</v>
      </c>
      <c r="I895" s="12" t="s">
        <v>346</v>
      </c>
      <c r="J895" s="12" t="s">
        <v>21</v>
      </c>
      <c r="K895" s="12" t="b">
        <v>0</v>
      </c>
      <c r="L895" s="12">
        <v>4</v>
      </c>
      <c r="M895" s="8">
        <v>2021</v>
      </c>
      <c r="N895" s="9">
        <v>537000</v>
      </c>
      <c r="O895" s="13">
        <v>42941</v>
      </c>
      <c r="P895" s="13">
        <v>42941</v>
      </c>
    </row>
    <row r="896" spans="1:16" ht="14.25">
      <c r="A896" s="10">
        <v>2017</v>
      </c>
      <c r="B896" s="11" t="s">
        <v>476</v>
      </c>
      <c r="C896" s="11" t="s">
        <v>477</v>
      </c>
      <c r="D896" s="12">
        <v>3007042</v>
      </c>
      <c r="E896" s="12">
        <v>2</v>
      </c>
      <c r="F896" s="12"/>
      <c r="G896" s="12">
        <v>200</v>
      </c>
      <c r="H896" s="12">
        <v>3</v>
      </c>
      <c r="I896" s="12" t="s">
        <v>346</v>
      </c>
      <c r="J896" s="12" t="s">
        <v>21</v>
      </c>
      <c r="K896" s="12" t="b">
        <v>0</v>
      </c>
      <c r="L896" s="12">
        <v>7</v>
      </c>
      <c r="M896" s="8">
        <v>2024</v>
      </c>
      <c r="N896" s="9">
        <v>700000</v>
      </c>
      <c r="O896" s="13">
        <v>42941</v>
      </c>
      <c r="P896" s="13">
        <v>42941</v>
      </c>
    </row>
    <row r="897" spans="1:16" ht="14.25">
      <c r="A897" s="10">
        <v>2017</v>
      </c>
      <c r="B897" s="11" t="s">
        <v>476</v>
      </c>
      <c r="C897" s="11" t="s">
        <v>477</v>
      </c>
      <c r="D897" s="12">
        <v>3007042</v>
      </c>
      <c r="E897" s="12">
        <v>2</v>
      </c>
      <c r="F897" s="12"/>
      <c r="G897" s="12">
        <v>200</v>
      </c>
      <c r="H897" s="12">
        <v>3</v>
      </c>
      <c r="I897" s="12" t="s">
        <v>346</v>
      </c>
      <c r="J897" s="12" t="s">
        <v>21</v>
      </c>
      <c r="K897" s="12" t="b">
        <v>0</v>
      </c>
      <c r="L897" s="12">
        <v>9</v>
      </c>
      <c r="M897" s="8">
        <v>2026</v>
      </c>
      <c r="N897" s="9">
        <v>0</v>
      </c>
      <c r="O897" s="13">
        <v>42941</v>
      </c>
      <c r="P897" s="13">
        <v>42941</v>
      </c>
    </row>
    <row r="898" spans="1:16" ht="14.25">
      <c r="A898" s="10">
        <v>2017</v>
      </c>
      <c r="B898" s="11" t="s">
        <v>476</v>
      </c>
      <c r="C898" s="11" t="s">
        <v>477</v>
      </c>
      <c r="D898" s="12">
        <v>3007042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0</v>
      </c>
      <c r="M898" s="8">
        <v>2017</v>
      </c>
      <c r="N898" s="9">
        <v>-4361472.72</v>
      </c>
      <c r="O898" s="13">
        <v>42941</v>
      </c>
      <c r="P898" s="13">
        <v>42941</v>
      </c>
    </row>
    <row r="899" spans="1:16" ht="14.25">
      <c r="A899" s="10">
        <v>2017</v>
      </c>
      <c r="B899" s="11" t="s">
        <v>476</v>
      </c>
      <c r="C899" s="11" t="s">
        <v>477</v>
      </c>
      <c r="D899" s="12">
        <v>3007042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3</v>
      </c>
      <c r="M899" s="8">
        <v>2020</v>
      </c>
      <c r="N899" s="9">
        <v>556076</v>
      </c>
      <c r="O899" s="13">
        <v>42941</v>
      </c>
      <c r="P899" s="13">
        <v>42941</v>
      </c>
    </row>
    <row r="900" spans="1:16" ht="14.25">
      <c r="A900" s="10">
        <v>2017</v>
      </c>
      <c r="B900" s="11" t="s">
        <v>476</v>
      </c>
      <c r="C900" s="11" t="s">
        <v>477</v>
      </c>
      <c r="D900" s="12">
        <v>3007042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5</v>
      </c>
      <c r="M900" s="8">
        <v>2022</v>
      </c>
      <c r="N900" s="9">
        <v>500000</v>
      </c>
      <c r="O900" s="13">
        <v>42941</v>
      </c>
      <c r="P900" s="13">
        <v>42941</v>
      </c>
    </row>
    <row r="901" spans="1:16" ht="14.25">
      <c r="A901" s="10">
        <v>2017</v>
      </c>
      <c r="B901" s="11" t="s">
        <v>476</v>
      </c>
      <c r="C901" s="11" t="s">
        <v>477</v>
      </c>
      <c r="D901" s="12">
        <v>3007042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8</v>
      </c>
      <c r="M901" s="8">
        <v>2025</v>
      </c>
      <c r="N901" s="9">
        <v>556457</v>
      </c>
      <c r="O901" s="13">
        <v>42941</v>
      </c>
      <c r="P901" s="13">
        <v>42941</v>
      </c>
    </row>
    <row r="902" spans="1:16" ht="14.25">
      <c r="A902" s="10">
        <v>2017</v>
      </c>
      <c r="B902" s="11" t="s">
        <v>476</v>
      </c>
      <c r="C902" s="11" t="s">
        <v>477</v>
      </c>
      <c r="D902" s="12">
        <v>3007042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6</v>
      </c>
      <c r="M902" s="8">
        <v>2023</v>
      </c>
      <c r="N902" s="9">
        <v>700000</v>
      </c>
      <c r="O902" s="13">
        <v>42941</v>
      </c>
      <c r="P902" s="13">
        <v>42941</v>
      </c>
    </row>
    <row r="903" spans="1:16" ht="14.25">
      <c r="A903" s="10">
        <v>2017</v>
      </c>
      <c r="B903" s="11" t="s">
        <v>476</v>
      </c>
      <c r="C903" s="11" t="s">
        <v>477</v>
      </c>
      <c r="D903" s="12">
        <v>3007042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2</v>
      </c>
      <c r="M903" s="8">
        <v>2019</v>
      </c>
      <c r="N903" s="9">
        <v>2896023</v>
      </c>
      <c r="O903" s="13">
        <v>42941</v>
      </c>
      <c r="P903" s="13">
        <v>42941</v>
      </c>
    </row>
    <row r="904" spans="1:16" ht="14.25">
      <c r="A904" s="10">
        <v>2017</v>
      </c>
      <c r="B904" s="11" t="s">
        <v>476</v>
      </c>
      <c r="C904" s="11" t="s">
        <v>477</v>
      </c>
      <c r="D904" s="12">
        <v>3007042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9</v>
      </c>
      <c r="M904" s="8">
        <v>2026</v>
      </c>
      <c r="N904" s="9">
        <v>0</v>
      </c>
      <c r="O904" s="13">
        <v>42941</v>
      </c>
      <c r="P904" s="13">
        <v>42941</v>
      </c>
    </row>
    <row r="905" spans="1:16" ht="14.25">
      <c r="A905" s="10">
        <v>2017</v>
      </c>
      <c r="B905" s="11" t="s">
        <v>476</v>
      </c>
      <c r="C905" s="11" t="s">
        <v>477</v>
      </c>
      <c r="D905" s="12">
        <v>3007042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1</v>
      </c>
      <c r="M905" s="8">
        <v>2018</v>
      </c>
      <c r="N905" s="9">
        <v>0</v>
      </c>
      <c r="O905" s="13">
        <v>42941</v>
      </c>
      <c r="P905" s="13">
        <v>42941</v>
      </c>
    </row>
    <row r="906" spans="1:16" ht="14.25">
      <c r="A906" s="10">
        <v>2017</v>
      </c>
      <c r="B906" s="11" t="s">
        <v>476</v>
      </c>
      <c r="C906" s="11" t="s">
        <v>477</v>
      </c>
      <c r="D906" s="12">
        <v>3007042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6</v>
      </c>
      <c r="M906" s="8">
        <v>2023</v>
      </c>
      <c r="N906" s="9">
        <v>0</v>
      </c>
      <c r="O906" s="13">
        <v>42941</v>
      </c>
      <c r="P906" s="13">
        <v>42941</v>
      </c>
    </row>
    <row r="907" spans="1:16" ht="14.25">
      <c r="A907" s="10">
        <v>2017</v>
      </c>
      <c r="B907" s="11" t="s">
        <v>476</v>
      </c>
      <c r="C907" s="11" t="s">
        <v>477</v>
      </c>
      <c r="D907" s="12">
        <v>3007042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5</v>
      </c>
      <c r="M907" s="8">
        <v>2022</v>
      </c>
      <c r="N907" s="9">
        <v>0</v>
      </c>
      <c r="O907" s="13">
        <v>42941</v>
      </c>
      <c r="P907" s="13">
        <v>42941</v>
      </c>
    </row>
    <row r="908" spans="1:16" ht="14.25">
      <c r="A908" s="10">
        <v>2017</v>
      </c>
      <c r="B908" s="11" t="s">
        <v>476</v>
      </c>
      <c r="C908" s="11" t="s">
        <v>477</v>
      </c>
      <c r="D908" s="12">
        <v>3007042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0</v>
      </c>
      <c r="M908" s="8">
        <v>2017</v>
      </c>
      <c r="N908" s="9">
        <v>0</v>
      </c>
      <c r="O908" s="13">
        <v>42941</v>
      </c>
      <c r="P908" s="13">
        <v>42941</v>
      </c>
    </row>
    <row r="909" spans="1:16" ht="14.25">
      <c r="A909" s="10">
        <v>2017</v>
      </c>
      <c r="B909" s="11" t="s">
        <v>476</v>
      </c>
      <c r="C909" s="11" t="s">
        <v>477</v>
      </c>
      <c r="D909" s="12">
        <v>3007042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3</v>
      </c>
      <c r="M909" s="8">
        <v>2020</v>
      </c>
      <c r="N909" s="9">
        <v>0</v>
      </c>
      <c r="O909" s="13">
        <v>42941</v>
      </c>
      <c r="P909" s="13">
        <v>42941</v>
      </c>
    </row>
    <row r="910" spans="1:16" ht="14.25">
      <c r="A910" s="10">
        <v>2017</v>
      </c>
      <c r="B910" s="11" t="s">
        <v>476</v>
      </c>
      <c r="C910" s="11" t="s">
        <v>477</v>
      </c>
      <c r="D910" s="12">
        <v>3007042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2</v>
      </c>
      <c r="M910" s="8">
        <v>2019</v>
      </c>
      <c r="N910" s="9">
        <v>0</v>
      </c>
      <c r="O910" s="13">
        <v>42941</v>
      </c>
      <c r="P910" s="13">
        <v>42941</v>
      </c>
    </row>
    <row r="911" spans="1:16" ht="14.25">
      <c r="A911" s="10">
        <v>2017</v>
      </c>
      <c r="B911" s="11" t="s">
        <v>476</v>
      </c>
      <c r="C911" s="11" t="s">
        <v>477</v>
      </c>
      <c r="D911" s="12">
        <v>3007042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4</v>
      </c>
      <c r="M911" s="8">
        <v>2021</v>
      </c>
      <c r="N911" s="9">
        <v>0</v>
      </c>
      <c r="O911" s="13">
        <v>42941</v>
      </c>
      <c r="P911" s="13">
        <v>42941</v>
      </c>
    </row>
    <row r="912" spans="1:16" ht="14.25">
      <c r="A912" s="10">
        <v>2017</v>
      </c>
      <c r="B912" s="11" t="s">
        <v>476</v>
      </c>
      <c r="C912" s="11" t="s">
        <v>477</v>
      </c>
      <c r="D912" s="12">
        <v>3007042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7</v>
      </c>
      <c r="M912" s="8">
        <v>2024</v>
      </c>
      <c r="N912" s="9">
        <v>0</v>
      </c>
      <c r="O912" s="13">
        <v>42941</v>
      </c>
      <c r="P912" s="13">
        <v>42941</v>
      </c>
    </row>
    <row r="913" spans="1:16" ht="14.25">
      <c r="A913" s="10">
        <v>2017</v>
      </c>
      <c r="B913" s="11" t="s">
        <v>476</v>
      </c>
      <c r="C913" s="11" t="s">
        <v>477</v>
      </c>
      <c r="D913" s="12">
        <v>3007042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8</v>
      </c>
      <c r="M913" s="8">
        <v>2025</v>
      </c>
      <c r="N913" s="9">
        <v>0</v>
      </c>
      <c r="O913" s="13">
        <v>42941</v>
      </c>
      <c r="P913" s="13">
        <v>42941</v>
      </c>
    </row>
    <row r="914" spans="1:16" ht="14.25">
      <c r="A914" s="10">
        <v>2017</v>
      </c>
      <c r="B914" s="11" t="s">
        <v>476</v>
      </c>
      <c r="C914" s="11" t="s">
        <v>477</v>
      </c>
      <c r="D914" s="12">
        <v>3007042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7</v>
      </c>
      <c r="M914" s="8">
        <v>2024</v>
      </c>
      <c r="N914" s="9">
        <v>2400000</v>
      </c>
      <c r="O914" s="13">
        <v>42941</v>
      </c>
      <c r="P914" s="13">
        <v>42941</v>
      </c>
    </row>
    <row r="915" spans="1:16" ht="14.25">
      <c r="A915" s="10">
        <v>2017</v>
      </c>
      <c r="B915" s="11" t="s">
        <v>476</v>
      </c>
      <c r="C915" s="11" t="s">
        <v>477</v>
      </c>
      <c r="D915" s="12">
        <v>3007042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1</v>
      </c>
      <c r="M915" s="8">
        <v>2018</v>
      </c>
      <c r="N915" s="9">
        <v>2300000</v>
      </c>
      <c r="O915" s="13">
        <v>42941</v>
      </c>
      <c r="P915" s="13">
        <v>42941</v>
      </c>
    </row>
    <row r="916" spans="1:16" ht="14.25">
      <c r="A916" s="10">
        <v>2017</v>
      </c>
      <c r="B916" s="11" t="s">
        <v>476</v>
      </c>
      <c r="C916" s="11" t="s">
        <v>477</v>
      </c>
      <c r="D916" s="12">
        <v>3007042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2</v>
      </c>
      <c r="M916" s="8">
        <v>2019</v>
      </c>
      <c r="N916" s="9">
        <v>2330000</v>
      </c>
      <c r="O916" s="13">
        <v>42941</v>
      </c>
      <c r="P916" s="13">
        <v>42941</v>
      </c>
    </row>
    <row r="917" spans="1:16" ht="14.25">
      <c r="A917" s="10">
        <v>2017</v>
      </c>
      <c r="B917" s="11" t="s">
        <v>476</v>
      </c>
      <c r="C917" s="11" t="s">
        <v>477</v>
      </c>
      <c r="D917" s="12">
        <v>3007042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8</v>
      </c>
      <c r="M917" s="8">
        <v>2025</v>
      </c>
      <c r="N917" s="9">
        <v>2400000</v>
      </c>
      <c r="O917" s="13">
        <v>42941</v>
      </c>
      <c r="P917" s="13">
        <v>42941</v>
      </c>
    </row>
    <row r="918" spans="1:16" ht="14.25">
      <c r="A918" s="10">
        <v>2017</v>
      </c>
      <c r="B918" s="11" t="s">
        <v>476</v>
      </c>
      <c r="C918" s="11" t="s">
        <v>477</v>
      </c>
      <c r="D918" s="12">
        <v>3007042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3</v>
      </c>
      <c r="M918" s="8">
        <v>2020</v>
      </c>
      <c r="N918" s="9">
        <v>2360000</v>
      </c>
      <c r="O918" s="13">
        <v>42941</v>
      </c>
      <c r="P918" s="13">
        <v>42941</v>
      </c>
    </row>
    <row r="919" spans="1:16" ht="14.25">
      <c r="A919" s="10">
        <v>2017</v>
      </c>
      <c r="B919" s="11" t="s">
        <v>476</v>
      </c>
      <c r="C919" s="11" t="s">
        <v>477</v>
      </c>
      <c r="D919" s="12">
        <v>3007042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6</v>
      </c>
      <c r="M919" s="8">
        <v>2023</v>
      </c>
      <c r="N919" s="9">
        <v>2400000</v>
      </c>
      <c r="O919" s="13">
        <v>42941</v>
      </c>
      <c r="P919" s="13">
        <v>42941</v>
      </c>
    </row>
    <row r="920" spans="1:16" ht="14.25">
      <c r="A920" s="10">
        <v>2017</v>
      </c>
      <c r="B920" s="11" t="s">
        <v>476</v>
      </c>
      <c r="C920" s="11" t="s">
        <v>477</v>
      </c>
      <c r="D920" s="12">
        <v>3007042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4</v>
      </c>
      <c r="M920" s="8">
        <v>2021</v>
      </c>
      <c r="N920" s="9">
        <v>2400000</v>
      </c>
      <c r="O920" s="13">
        <v>42941</v>
      </c>
      <c r="P920" s="13">
        <v>42941</v>
      </c>
    </row>
    <row r="921" spans="1:16" ht="14.25">
      <c r="A921" s="10">
        <v>2017</v>
      </c>
      <c r="B921" s="11" t="s">
        <v>476</v>
      </c>
      <c r="C921" s="11" t="s">
        <v>477</v>
      </c>
      <c r="D921" s="12">
        <v>3007042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0</v>
      </c>
      <c r="M921" s="8">
        <v>2017</v>
      </c>
      <c r="N921" s="9">
        <v>2268000</v>
      </c>
      <c r="O921" s="13">
        <v>42941</v>
      </c>
      <c r="P921" s="13">
        <v>42941</v>
      </c>
    </row>
    <row r="922" spans="1:16" ht="14.25">
      <c r="A922" s="10">
        <v>2017</v>
      </c>
      <c r="B922" s="11" t="s">
        <v>476</v>
      </c>
      <c r="C922" s="11" t="s">
        <v>477</v>
      </c>
      <c r="D922" s="12">
        <v>3007042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9</v>
      </c>
      <c r="M922" s="8">
        <v>2026</v>
      </c>
      <c r="N922" s="9">
        <v>2400000</v>
      </c>
      <c r="O922" s="13">
        <v>42941</v>
      </c>
      <c r="P922" s="13">
        <v>42941</v>
      </c>
    </row>
    <row r="923" spans="1:16" ht="14.25">
      <c r="A923" s="10">
        <v>2017</v>
      </c>
      <c r="B923" s="11" t="s">
        <v>476</v>
      </c>
      <c r="C923" s="11" t="s">
        <v>477</v>
      </c>
      <c r="D923" s="12">
        <v>3007042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5</v>
      </c>
      <c r="M923" s="8">
        <v>2022</v>
      </c>
      <c r="N923" s="9">
        <v>2400000</v>
      </c>
      <c r="O923" s="13">
        <v>42941</v>
      </c>
      <c r="P923" s="13">
        <v>42941</v>
      </c>
    </row>
    <row r="924" spans="1:16" ht="14.25">
      <c r="A924" s="10">
        <v>2017</v>
      </c>
      <c r="B924" s="11" t="s">
        <v>476</v>
      </c>
      <c r="C924" s="11" t="s">
        <v>477</v>
      </c>
      <c r="D924" s="12">
        <v>3007042</v>
      </c>
      <c r="E924" s="12">
        <v>2</v>
      </c>
      <c r="F924" s="12"/>
      <c r="G924" s="12">
        <v>767</v>
      </c>
      <c r="H924" s="12">
        <v>12.7</v>
      </c>
      <c r="I924" s="12"/>
      <c r="J924" s="12" t="s">
        <v>385</v>
      </c>
      <c r="K924" s="12" t="b">
        <v>1</v>
      </c>
      <c r="L924" s="12">
        <v>5</v>
      </c>
      <c r="M924" s="8">
        <v>2022</v>
      </c>
      <c r="N924" s="9">
        <v>0</v>
      </c>
      <c r="O924" s="13">
        <v>42941</v>
      </c>
      <c r="P924" s="13">
        <v>42941</v>
      </c>
    </row>
    <row r="925" spans="1:16" ht="14.25">
      <c r="A925" s="10">
        <v>2017</v>
      </c>
      <c r="B925" s="11" t="s">
        <v>476</v>
      </c>
      <c r="C925" s="11" t="s">
        <v>477</v>
      </c>
      <c r="D925" s="12">
        <v>3007042</v>
      </c>
      <c r="E925" s="12">
        <v>2</v>
      </c>
      <c r="F925" s="12"/>
      <c r="G925" s="12">
        <v>767</v>
      </c>
      <c r="H925" s="12">
        <v>12.7</v>
      </c>
      <c r="I925" s="12"/>
      <c r="J925" s="12" t="s">
        <v>385</v>
      </c>
      <c r="K925" s="12" t="b">
        <v>1</v>
      </c>
      <c r="L925" s="12">
        <v>4</v>
      </c>
      <c r="M925" s="8">
        <v>2021</v>
      </c>
      <c r="N925" s="9">
        <v>0</v>
      </c>
      <c r="O925" s="13">
        <v>42941</v>
      </c>
      <c r="P925" s="13">
        <v>42941</v>
      </c>
    </row>
    <row r="926" spans="1:16" ht="14.25">
      <c r="A926" s="10">
        <v>2017</v>
      </c>
      <c r="B926" s="11" t="s">
        <v>476</v>
      </c>
      <c r="C926" s="11" t="s">
        <v>477</v>
      </c>
      <c r="D926" s="12">
        <v>3007042</v>
      </c>
      <c r="E926" s="12">
        <v>2</v>
      </c>
      <c r="F926" s="12"/>
      <c r="G926" s="12">
        <v>767</v>
      </c>
      <c r="H926" s="12">
        <v>12.7</v>
      </c>
      <c r="I926" s="12"/>
      <c r="J926" s="12" t="s">
        <v>385</v>
      </c>
      <c r="K926" s="12" t="b">
        <v>1</v>
      </c>
      <c r="L926" s="12">
        <v>0</v>
      </c>
      <c r="M926" s="8">
        <v>2017</v>
      </c>
      <c r="N926" s="9">
        <v>0</v>
      </c>
      <c r="O926" s="13">
        <v>42941</v>
      </c>
      <c r="P926" s="13">
        <v>42941</v>
      </c>
    </row>
    <row r="927" spans="1:16" ht="14.25">
      <c r="A927" s="10">
        <v>2017</v>
      </c>
      <c r="B927" s="11" t="s">
        <v>476</v>
      </c>
      <c r="C927" s="11" t="s">
        <v>477</v>
      </c>
      <c r="D927" s="12">
        <v>3007042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6</v>
      </c>
      <c r="M927" s="8">
        <v>2023</v>
      </c>
      <c r="N927" s="9">
        <v>0</v>
      </c>
      <c r="O927" s="13">
        <v>42941</v>
      </c>
      <c r="P927" s="13">
        <v>42941</v>
      </c>
    </row>
    <row r="928" spans="1:16" ht="14.25">
      <c r="A928" s="10">
        <v>2017</v>
      </c>
      <c r="B928" s="11" t="s">
        <v>476</v>
      </c>
      <c r="C928" s="11" t="s">
        <v>477</v>
      </c>
      <c r="D928" s="12">
        <v>3007042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7</v>
      </c>
      <c r="M928" s="8">
        <v>2024</v>
      </c>
      <c r="N928" s="9">
        <v>0</v>
      </c>
      <c r="O928" s="13">
        <v>42941</v>
      </c>
      <c r="P928" s="13">
        <v>42941</v>
      </c>
    </row>
    <row r="929" spans="1:16" ht="14.25">
      <c r="A929" s="10">
        <v>2017</v>
      </c>
      <c r="B929" s="11" t="s">
        <v>476</v>
      </c>
      <c r="C929" s="11" t="s">
        <v>477</v>
      </c>
      <c r="D929" s="12">
        <v>3007042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3</v>
      </c>
      <c r="M929" s="8">
        <v>2020</v>
      </c>
      <c r="N929" s="9">
        <v>0</v>
      </c>
      <c r="O929" s="13">
        <v>42941</v>
      </c>
      <c r="P929" s="13">
        <v>42941</v>
      </c>
    </row>
    <row r="930" spans="1:16" ht="14.25">
      <c r="A930" s="10">
        <v>2017</v>
      </c>
      <c r="B930" s="11" t="s">
        <v>476</v>
      </c>
      <c r="C930" s="11" t="s">
        <v>477</v>
      </c>
      <c r="D930" s="12">
        <v>3007042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8</v>
      </c>
      <c r="M930" s="8">
        <v>2025</v>
      </c>
      <c r="N930" s="9">
        <v>0</v>
      </c>
      <c r="O930" s="13">
        <v>42941</v>
      </c>
      <c r="P930" s="13">
        <v>42941</v>
      </c>
    </row>
    <row r="931" spans="1:16" ht="14.25">
      <c r="A931" s="10">
        <v>2017</v>
      </c>
      <c r="B931" s="11" t="s">
        <v>476</v>
      </c>
      <c r="C931" s="11" t="s">
        <v>477</v>
      </c>
      <c r="D931" s="12">
        <v>3007042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1</v>
      </c>
      <c r="M931" s="8">
        <v>2018</v>
      </c>
      <c r="N931" s="9">
        <v>0</v>
      </c>
      <c r="O931" s="13">
        <v>42941</v>
      </c>
      <c r="P931" s="13">
        <v>42941</v>
      </c>
    </row>
    <row r="932" spans="1:16" ht="14.25">
      <c r="A932" s="10">
        <v>2017</v>
      </c>
      <c r="B932" s="11" t="s">
        <v>476</v>
      </c>
      <c r="C932" s="11" t="s">
        <v>477</v>
      </c>
      <c r="D932" s="12">
        <v>3007042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2</v>
      </c>
      <c r="M932" s="8">
        <v>2019</v>
      </c>
      <c r="N932" s="9">
        <v>0</v>
      </c>
      <c r="O932" s="13">
        <v>42941</v>
      </c>
      <c r="P932" s="13">
        <v>42941</v>
      </c>
    </row>
    <row r="933" spans="1:16" ht="14.25">
      <c r="A933" s="10">
        <v>2017</v>
      </c>
      <c r="B933" s="11" t="s">
        <v>476</v>
      </c>
      <c r="C933" s="11" t="s">
        <v>477</v>
      </c>
      <c r="D933" s="12">
        <v>3007042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9</v>
      </c>
      <c r="M933" s="8">
        <v>2026</v>
      </c>
      <c r="N933" s="9">
        <v>0</v>
      </c>
      <c r="O933" s="13">
        <v>42941</v>
      </c>
      <c r="P933" s="13">
        <v>42941</v>
      </c>
    </row>
    <row r="934" spans="1:16" ht="14.25">
      <c r="A934" s="10">
        <v>2017</v>
      </c>
      <c r="B934" s="11" t="s">
        <v>476</v>
      </c>
      <c r="C934" s="11" t="s">
        <v>477</v>
      </c>
      <c r="D934" s="12">
        <v>3007042</v>
      </c>
      <c r="E934" s="12">
        <v>2</v>
      </c>
      <c r="F934" s="12"/>
      <c r="G934" s="12">
        <v>765</v>
      </c>
      <c r="H934" s="12">
        <v>12.6</v>
      </c>
      <c r="I934" s="12"/>
      <c r="J934" s="12" t="s">
        <v>382</v>
      </c>
      <c r="K934" s="12" t="b">
        <v>1</v>
      </c>
      <c r="L934" s="12">
        <v>0</v>
      </c>
      <c r="M934" s="8">
        <v>2017</v>
      </c>
      <c r="N934" s="9">
        <v>2268453.05</v>
      </c>
      <c r="O934" s="13">
        <v>42941</v>
      </c>
      <c r="P934" s="13">
        <v>42941</v>
      </c>
    </row>
    <row r="935" spans="1:16" ht="14.25">
      <c r="A935" s="10">
        <v>2017</v>
      </c>
      <c r="B935" s="11" t="s">
        <v>476</v>
      </c>
      <c r="C935" s="11" t="s">
        <v>477</v>
      </c>
      <c r="D935" s="12">
        <v>3007042</v>
      </c>
      <c r="E935" s="12">
        <v>2</v>
      </c>
      <c r="F935" s="12"/>
      <c r="G935" s="12">
        <v>765</v>
      </c>
      <c r="H935" s="12">
        <v>12.6</v>
      </c>
      <c r="I935" s="12"/>
      <c r="J935" s="12" t="s">
        <v>382</v>
      </c>
      <c r="K935" s="12" t="b">
        <v>1</v>
      </c>
      <c r="L935" s="12">
        <v>2</v>
      </c>
      <c r="M935" s="8">
        <v>2019</v>
      </c>
      <c r="N935" s="9">
        <v>0</v>
      </c>
      <c r="O935" s="13">
        <v>42941</v>
      </c>
      <c r="P935" s="13">
        <v>42941</v>
      </c>
    </row>
    <row r="936" spans="1:16" ht="14.25">
      <c r="A936" s="10">
        <v>2017</v>
      </c>
      <c r="B936" s="11" t="s">
        <v>476</v>
      </c>
      <c r="C936" s="11" t="s">
        <v>477</v>
      </c>
      <c r="D936" s="12">
        <v>3007042</v>
      </c>
      <c r="E936" s="12">
        <v>2</v>
      </c>
      <c r="F936" s="12"/>
      <c r="G936" s="12">
        <v>765</v>
      </c>
      <c r="H936" s="12">
        <v>12.6</v>
      </c>
      <c r="I936" s="12"/>
      <c r="J936" s="12" t="s">
        <v>382</v>
      </c>
      <c r="K936" s="12" t="b">
        <v>1</v>
      </c>
      <c r="L936" s="12">
        <v>9</v>
      </c>
      <c r="M936" s="8">
        <v>2026</v>
      </c>
      <c r="N936" s="9">
        <v>0</v>
      </c>
      <c r="O936" s="13">
        <v>42941</v>
      </c>
      <c r="P936" s="13">
        <v>42941</v>
      </c>
    </row>
    <row r="937" spans="1:16" ht="14.25">
      <c r="A937" s="10">
        <v>2017</v>
      </c>
      <c r="B937" s="11" t="s">
        <v>476</v>
      </c>
      <c r="C937" s="11" t="s">
        <v>477</v>
      </c>
      <c r="D937" s="12">
        <v>3007042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6</v>
      </c>
      <c r="M937" s="8">
        <v>2023</v>
      </c>
      <c r="N937" s="9">
        <v>0</v>
      </c>
      <c r="O937" s="13">
        <v>42941</v>
      </c>
      <c r="P937" s="13">
        <v>42941</v>
      </c>
    </row>
    <row r="938" spans="1:16" ht="14.25">
      <c r="A938" s="10">
        <v>2017</v>
      </c>
      <c r="B938" s="11" t="s">
        <v>476</v>
      </c>
      <c r="C938" s="11" t="s">
        <v>477</v>
      </c>
      <c r="D938" s="12">
        <v>3007042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7</v>
      </c>
      <c r="M938" s="8">
        <v>2024</v>
      </c>
      <c r="N938" s="9">
        <v>0</v>
      </c>
      <c r="O938" s="13">
        <v>42941</v>
      </c>
      <c r="P938" s="13">
        <v>42941</v>
      </c>
    </row>
    <row r="939" spans="1:16" ht="14.25">
      <c r="A939" s="10">
        <v>2017</v>
      </c>
      <c r="B939" s="11" t="s">
        <v>476</v>
      </c>
      <c r="C939" s="11" t="s">
        <v>477</v>
      </c>
      <c r="D939" s="12">
        <v>3007042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4</v>
      </c>
      <c r="M939" s="8">
        <v>2021</v>
      </c>
      <c r="N939" s="9">
        <v>0</v>
      </c>
      <c r="O939" s="13">
        <v>42941</v>
      </c>
      <c r="P939" s="13">
        <v>42941</v>
      </c>
    </row>
    <row r="940" spans="1:16" ht="14.25">
      <c r="A940" s="10">
        <v>2017</v>
      </c>
      <c r="B940" s="11" t="s">
        <v>476</v>
      </c>
      <c r="C940" s="11" t="s">
        <v>477</v>
      </c>
      <c r="D940" s="12">
        <v>3007042</v>
      </c>
      <c r="E940" s="12">
        <v>2</v>
      </c>
      <c r="F940" s="12"/>
      <c r="G940" s="12">
        <v>410</v>
      </c>
      <c r="H940" s="12">
        <v>8</v>
      </c>
      <c r="I940" s="12"/>
      <c r="J940" s="12" t="s">
        <v>142</v>
      </c>
      <c r="K940" s="12" t="b">
        <v>1</v>
      </c>
      <c r="L940" s="12">
        <v>7</v>
      </c>
      <c r="M940" s="8">
        <v>2024</v>
      </c>
      <c r="N940" s="9">
        <v>0</v>
      </c>
      <c r="O940" s="13">
        <v>42941</v>
      </c>
      <c r="P940" s="13">
        <v>42941</v>
      </c>
    </row>
    <row r="941" spans="1:16" ht="14.25">
      <c r="A941" s="10">
        <v>2017</v>
      </c>
      <c r="B941" s="11" t="s">
        <v>476</v>
      </c>
      <c r="C941" s="11" t="s">
        <v>477</v>
      </c>
      <c r="D941" s="12">
        <v>3007042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5</v>
      </c>
      <c r="M941" s="8">
        <v>2022</v>
      </c>
      <c r="N941" s="9">
        <v>0</v>
      </c>
      <c r="O941" s="13">
        <v>42941</v>
      </c>
      <c r="P941" s="13">
        <v>42941</v>
      </c>
    </row>
    <row r="942" spans="1:16" ht="14.25">
      <c r="A942" s="10">
        <v>2017</v>
      </c>
      <c r="B942" s="11" t="s">
        <v>476</v>
      </c>
      <c r="C942" s="11" t="s">
        <v>477</v>
      </c>
      <c r="D942" s="12">
        <v>3007042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8</v>
      </c>
      <c r="M942" s="8">
        <v>2025</v>
      </c>
      <c r="N942" s="9">
        <v>0</v>
      </c>
      <c r="O942" s="13">
        <v>42941</v>
      </c>
      <c r="P942" s="13">
        <v>42941</v>
      </c>
    </row>
    <row r="943" spans="1:16" ht="14.25">
      <c r="A943" s="10">
        <v>2017</v>
      </c>
      <c r="B943" s="11" t="s">
        <v>476</v>
      </c>
      <c r="C943" s="11" t="s">
        <v>477</v>
      </c>
      <c r="D943" s="12">
        <v>3007042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1</v>
      </c>
      <c r="M943" s="8">
        <v>2018</v>
      </c>
      <c r="N943" s="9">
        <v>1238969.25</v>
      </c>
      <c r="O943" s="13">
        <v>42941</v>
      </c>
      <c r="P943" s="13">
        <v>42941</v>
      </c>
    </row>
    <row r="944" spans="1:16" ht="14.25">
      <c r="A944" s="10">
        <v>2017</v>
      </c>
      <c r="B944" s="11" t="s">
        <v>476</v>
      </c>
      <c r="C944" s="11" t="s">
        <v>477</v>
      </c>
      <c r="D944" s="12">
        <v>3007042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3</v>
      </c>
      <c r="M944" s="8">
        <v>2020</v>
      </c>
      <c r="N944" s="9">
        <v>0</v>
      </c>
      <c r="O944" s="13">
        <v>42941</v>
      </c>
      <c r="P944" s="13">
        <v>42941</v>
      </c>
    </row>
    <row r="945" spans="1:16" ht="14.25">
      <c r="A945" s="10">
        <v>2017</v>
      </c>
      <c r="B945" s="11" t="s">
        <v>476</v>
      </c>
      <c r="C945" s="11" t="s">
        <v>477</v>
      </c>
      <c r="D945" s="12">
        <v>3007042</v>
      </c>
      <c r="E945" s="12">
        <v>2</v>
      </c>
      <c r="F945" s="12"/>
      <c r="G945" s="12">
        <v>1020</v>
      </c>
      <c r="H945" s="12">
        <v>16.3</v>
      </c>
      <c r="I945" s="12"/>
      <c r="J945" s="12" t="s">
        <v>484</v>
      </c>
      <c r="K945" s="12" t="b">
        <v>1</v>
      </c>
      <c r="L945" s="12">
        <v>3</v>
      </c>
      <c r="M945" s="8">
        <v>2020</v>
      </c>
      <c r="N945" s="9">
        <v>0</v>
      </c>
      <c r="O945" s="13">
        <v>42941</v>
      </c>
      <c r="P945" s="13">
        <v>42941</v>
      </c>
    </row>
    <row r="946" spans="1:16" ht="14.25">
      <c r="A946" s="10">
        <v>2017</v>
      </c>
      <c r="B946" s="11" t="s">
        <v>476</v>
      </c>
      <c r="C946" s="11" t="s">
        <v>477</v>
      </c>
      <c r="D946" s="12">
        <v>3007042</v>
      </c>
      <c r="E946" s="12">
        <v>2</v>
      </c>
      <c r="F946" s="12"/>
      <c r="G946" s="12">
        <v>1020</v>
      </c>
      <c r="H946" s="12">
        <v>16.3</v>
      </c>
      <c r="I946" s="12"/>
      <c r="J946" s="12" t="s">
        <v>484</v>
      </c>
      <c r="K946" s="12" t="b">
        <v>1</v>
      </c>
      <c r="L946" s="12">
        <v>6</v>
      </c>
      <c r="M946" s="8">
        <v>2023</v>
      </c>
      <c r="N946" s="9">
        <v>0</v>
      </c>
      <c r="O946" s="13">
        <v>42941</v>
      </c>
      <c r="P946" s="13">
        <v>42941</v>
      </c>
    </row>
    <row r="947" spans="1:16" ht="14.25">
      <c r="A947" s="10">
        <v>2017</v>
      </c>
      <c r="B947" s="11" t="s">
        <v>476</v>
      </c>
      <c r="C947" s="11" t="s">
        <v>477</v>
      </c>
      <c r="D947" s="12">
        <v>3007042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484</v>
      </c>
      <c r="K947" s="12" t="b">
        <v>1</v>
      </c>
      <c r="L947" s="12">
        <v>4</v>
      </c>
      <c r="M947" s="8">
        <v>2021</v>
      </c>
      <c r="N947" s="9">
        <v>0</v>
      </c>
      <c r="O947" s="13">
        <v>42941</v>
      </c>
      <c r="P947" s="13">
        <v>42941</v>
      </c>
    </row>
    <row r="948" spans="1:16" ht="14.25">
      <c r="A948" s="10">
        <v>2017</v>
      </c>
      <c r="B948" s="11" t="s">
        <v>476</v>
      </c>
      <c r="C948" s="11" t="s">
        <v>477</v>
      </c>
      <c r="D948" s="12">
        <v>3007042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484</v>
      </c>
      <c r="K948" s="12" t="b">
        <v>1</v>
      </c>
      <c r="L948" s="12">
        <v>5</v>
      </c>
      <c r="M948" s="8">
        <v>2022</v>
      </c>
      <c r="N948" s="9">
        <v>0</v>
      </c>
      <c r="O948" s="13">
        <v>42941</v>
      </c>
      <c r="P948" s="13">
        <v>42941</v>
      </c>
    </row>
    <row r="949" spans="1:16" ht="14.25">
      <c r="A949" s="10">
        <v>2017</v>
      </c>
      <c r="B949" s="11" t="s">
        <v>476</v>
      </c>
      <c r="C949" s="11" t="s">
        <v>477</v>
      </c>
      <c r="D949" s="12">
        <v>3007042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484</v>
      </c>
      <c r="K949" s="12" t="b">
        <v>1</v>
      </c>
      <c r="L949" s="12">
        <v>7</v>
      </c>
      <c r="M949" s="8">
        <v>2024</v>
      </c>
      <c r="N949" s="9">
        <v>0</v>
      </c>
      <c r="O949" s="13">
        <v>42941</v>
      </c>
      <c r="P949" s="13">
        <v>42941</v>
      </c>
    </row>
    <row r="950" spans="1:16" ht="14.25">
      <c r="A950" s="10">
        <v>2017</v>
      </c>
      <c r="B950" s="11" t="s">
        <v>476</v>
      </c>
      <c r="C950" s="11" t="s">
        <v>477</v>
      </c>
      <c r="D950" s="12">
        <v>3007042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484</v>
      </c>
      <c r="K950" s="12" t="b">
        <v>1</v>
      </c>
      <c r="L950" s="12">
        <v>8</v>
      </c>
      <c r="M950" s="8">
        <v>2025</v>
      </c>
      <c r="N950" s="9">
        <v>0</v>
      </c>
      <c r="O950" s="13">
        <v>42941</v>
      </c>
      <c r="P950" s="13">
        <v>42941</v>
      </c>
    </row>
    <row r="951" spans="1:16" ht="14.25">
      <c r="A951" s="10">
        <v>2017</v>
      </c>
      <c r="B951" s="11" t="s">
        <v>476</v>
      </c>
      <c r="C951" s="11" t="s">
        <v>477</v>
      </c>
      <c r="D951" s="12">
        <v>3007042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484</v>
      </c>
      <c r="K951" s="12" t="b">
        <v>1</v>
      </c>
      <c r="L951" s="12">
        <v>1</v>
      </c>
      <c r="M951" s="8">
        <v>2018</v>
      </c>
      <c r="N951" s="9">
        <v>0</v>
      </c>
      <c r="O951" s="13">
        <v>42941</v>
      </c>
      <c r="P951" s="13">
        <v>42941</v>
      </c>
    </row>
    <row r="952" spans="1:16" ht="14.25">
      <c r="A952" s="10">
        <v>2017</v>
      </c>
      <c r="B952" s="11" t="s">
        <v>476</v>
      </c>
      <c r="C952" s="11" t="s">
        <v>477</v>
      </c>
      <c r="D952" s="12">
        <v>3007042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484</v>
      </c>
      <c r="K952" s="12" t="b">
        <v>1</v>
      </c>
      <c r="L952" s="12">
        <v>2</v>
      </c>
      <c r="M952" s="8">
        <v>2019</v>
      </c>
      <c r="N952" s="9">
        <v>0</v>
      </c>
      <c r="O952" s="13">
        <v>42941</v>
      </c>
      <c r="P952" s="13">
        <v>42941</v>
      </c>
    </row>
    <row r="953" spans="1:16" ht="14.25">
      <c r="A953" s="10">
        <v>2017</v>
      </c>
      <c r="B953" s="11" t="s">
        <v>476</v>
      </c>
      <c r="C953" s="11" t="s">
        <v>477</v>
      </c>
      <c r="D953" s="12">
        <v>3007042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484</v>
      </c>
      <c r="K953" s="12" t="b">
        <v>1</v>
      </c>
      <c r="L953" s="12">
        <v>0</v>
      </c>
      <c r="M953" s="8">
        <v>2017</v>
      </c>
      <c r="N953" s="9">
        <v>0</v>
      </c>
      <c r="O953" s="13">
        <v>42941</v>
      </c>
      <c r="P953" s="13">
        <v>42941</v>
      </c>
    </row>
    <row r="954" spans="1:16" ht="14.25">
      <c r="A954" s="10">
        <v>2017</v>
      </c>
      <c r="B954" s="11" t="s">
        <v>476</v>
      </c>
      <c r="C954" s="11" t="s">
        <v>477</v>
      </c>
      <c r="D954" s="12">
        <v>3007042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484</v>
      </c>
      <c r="K954" s="12" t="b">
        <v>1</v>
      </c>
      <c r="L954" s="12">
        <v>9</v>
      </c>
      <c r="M954" s="8">
        <v>2026</v>
      </c>
      <c r="N954" s="9">
        <v>0</v>
      </c>
      <c r="O954" s="13">
        <v>42941</v>
      </c>
      <c r="P954" s="13">
        <v>42941</v>
      </c>
    </row>
    <row r="955" spans="1:16" ht="14.25">
      <c r="A955" s="10">
        <v>2017</v>
      </c>
      <c r="B955" s="11" t="s">
        <v>476</v>
      </c>
      <c r="C955" s="11" t="s">
        <v>477</v>
      </c>
      <c r="D955" s="12">
        <v>3007042</v>
      </c>
      <c r="E955" s="12">
        <v>2</v>
      </c>
      <c r="F955" s="12"/>
      <c r="G955" s="12">
        <v>670</v>
      </c>
      <c r="H955" s="12">
        <v>12.1</v>
      </c>
      <c r="I955" s="12"/>
      <c r="J955" s="12" t="s">
        <v>94</v>
      </c>
      <c r="K955" s="12" t="b">
        <v>1</v>
      </c>
      <c r="L955" s="12">
        <v>8</v>
      </c>
      <c r="M955" s="8">
        <v>2025</v>
      </c>
      <c r="N955" s="9">
        <v>0</v>
      </c>
      <c r="O955" s="13">
        <v>42941</v>
      </c>
      <c r="P955" s="13">
        <v>42941</v>
      </c>
    </row>
    <row r="956" spans="1:16" ht="14.25">
      <c r="A956" s="10">
        <v>2017</v>
      </c>
      <c r="B956" s="11" t="s">
        <v>476</v>
      </c>
      <c r="C956" s="11" t="s">
        <v>477</v>
      </c>
      <c r="D956" s="12">
        <v>3007042</v>
      </c>
      <c r="E956" s="12">
        <v>2</v>
      </c>
      <c r="F956" s="12"/>
      <c r="G956" s="12">
        <v>670</v>
      </c>
      <c r="H956" s="12">
        <v>12.1</v>
      </c>
      <c r="I956" s="12"/>
      <c r="J956" s="12" t="s">
        <v>94</v>
      </c>
      <c r="K956" s="12" t="b">
        <v>1</v>
      </c>
      <c r="L956" s="12">
        <v>1</v>
      </c>
      <c r="M956" s="8">
        <v>2018</v>
      </c>
      <c r="N956" s="9">
        <v>0</v>
      </c>
      <c r="O956" s="13">
        <v>42941</v>
      </c>
      <c r="P956" s="13">
        <v>42941</v>
      </c>
    </row>
    <row r="957" spans="1:16" ht="14.25">
      <c r="A957" s="10">
        <v>2017</v>
      </c>
      <c r="B957" s="11" t="s">
        <v>476</v>
      </c>
      <c r="C957" s="11" t="s">
        <v>477</v>
      </c>
      <c r="D957" s="12">
        <v>3007042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7</v>
      </c>
      <c r="M957" s="8">
        <v>2024</v>
      </c>
      <c r="N957" s="9">
        <v>0</v>
      </c>
      <c r="O957" s="13">
        <v>42941</v>
      </c>
      <c r="P957" s="13">
        <v>42941</v>
      </c>
    </row>
    <row r="958" spans="1:16" ht="14.25">
      <c r="A958" s="10">
        <v>2017</v>
      </c>
      <c r="B958" s="11" t="s">
        <v>476</v>
      </c>
      <c r="C958" s="11" t="s">
        <v>477</v>
      </c>
      <c r="D958" s="12">
        <v>3007042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3</v>
      </c>
      <c r="M958" s="8">
        <v>2020</v>
      </c>
      <c r="N958" s="9">
        <v>0</v>
      </c>
      <c r="O958" s="13">
        <v>42941</v>
      </c>
      <c r="P958" s="13">
        <v>42941</v>
      </c>
    </row>
    <row r="959" spans="1:16" ht="14.25">
      <c r="A959" s="10">
        <v>2017</v>
      </c>
      <c r="B959" s="11" t="s">
        <v>476</v>
      </c>
      <c r="C959" s="11" t="s">
        <v>477</v>
      </c>
      <c r="D959" s="12">
        <v>3007042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2</v>
      </c>
      <c r="M959" s="8">
        <v>2019</v>
      </c>
      <c r="N959" s="9">
        <v>0</v>
      </c>
      <c r="O959" s="13">
        <v>42941</v>
      </c>
      <c r="P959" s="13">
        <v>42941</v>
      </c>
    </row>
    <row r="960" spans="1:16" ht="14.25">
      <c r="A960" s="10">
        <v>2017</v>
      </c>
      <c r="B960" s="11" t="s">
        <v>476</v>
      </c>
      <c r="C960" s="11" t="s">
        <v>477</v>
      </c>
      <c r="D960" s="12">
        <v>3007042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4</v>
      </c>
      <c r="M960" s="8">
        <v>2021</v>
      </c>
      <c r="N960" s="9">
        <v>0</v>
      </c>
      <c r="O960" s="13">
        <v>42941</v>
      </c>
      <c r="P960" s="13">
        <v>42941</v>
      </c>
    </row>
    <row r="961" spans="1:16" ht="14.25">
      <c r="A961" s="10">
        <v>2017</v>
      </c>
      <c r="B961" s="11" t="s">
        <v>476</v>
      </c>
      <c r="C961" s="11" t="s">
        <v>477</v>
      </c>
      <c r="D961" s="12">
        <v>3007042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0</v>
      </c>
      <c r="M961" s="8">
        <v>2017</v>
      </c>
      <c r="N961" s="9">
        <v>141812.43</v>
      </c>
      <c r="O961" s="13">
        <v>42941</v>
      </c>
      <c r="P961" s="13">
        <v>42941</v>
      </c>
    </row>
    <row r="962" spans="1:16" ht="14.25">
      <c r="A962" s="10">
        <v>2017</v>
      </c>
      <c r="B962" s="11" t="s">
        <v>476</v>
      </c>
      <c r="C962" s="11" t="s">
        <v>477</v>
      </c>
      <c r="D962" s="12">
        <v>3007042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6</v>
      </c>
      <c r="M962" s="8">
        <v>2023</v>
      </c>
      <c r="N962" s="9">
        <v>0</v>
      </c>
      <c r="O962" s="13">
        <v>42941</v>
      </c>
      <c r="P962" s="13">
        <v>42941</v>
      </c>
    </row>
    <row r="963" spans="1:16" ht="14.25">
      <c r="A963" s="10">
        <v>2017</v>
      </c>
      <c r="B963" s="11" t="s">
        <v>476</v>
      </c>
      <c r="C963" s="11" t="s">
        <v>477</v>
      </c>
      <c r="D963" s="12">
        <v>3007042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5</v>
      </c>
      <c r="M963" s="8">
        <v>2022</v>
      </c>
      <c r="N963" s="9">
        <v>0</v>
      </c>
      <c r="O963" s="13">
        <v>42941</v>
      </c>
      <c r="P963" s="13">
        <v>42941</v>
      </c>
    </row>
    <row r="964" spans="1:16" ht="14.25">
      <c r="A964" s="10">
        <v>2017</v>
      </c>
      <c r="B964" s="11" t="s">
        <v>476</v>
      </c>
      <c r="C964" s="11" t="s">
        <v>477</v>
      </c>
      <c r="D964" s="12">
        <v>3007042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9</v>
      </c>
      <c r="M964" s="8">
        <v>2026</v>
      </c>
      <c r="N964" s="9">
        <v>0</v>
      </c>
      <c r="O964" s="13">
        <v>42941</v>
      </c>
      <c r="P964" s="13">
        <v>42941</v>
      </c>
    </row>
    <row r="965" spans="1:16" ht="14.25">
      <c r="A965" s="10">
        <v>2017</v>
      </c>
      <c r="B965" s="11" t="s">
        <v>476</v>
      </c>
      <c r="C965" s="11" t="s">
        <v>477</v>
      </c>
      <c r="D965" s="12">
        <v>3007042</v>
      </c>
      <c r="E965" s="12">
        <v>2</v>
      </c>
      <c r="F965" s="12"/>
      <c r="G965" s="12">
        <v>182</v>
      </c>
      <c r="H965" s="12" t="s">
        <v>342</v>
      </c>
      <c r="I965" s="12"/>
      <c r="J965" s="12" t="s">
        <v>343</v>
      </c>
      <c r="K965" s="12" t="b">
        <v>0</v>
      </c>
      <c r="L965" s="12">
        <v>3</v>
      </c>
      <c r="M965" s="8">
        <v>2020</v>
      </c>
      <c r="N965" s="9">
        <v>0</v>
      </c>
      <c r="O965" s="13">
        <v>42941</v>
      </c>
      <c r="P965" s="13">
        <v>42941</v>
      </c>
    </row>
    <row r="966" spans="1:16" ht="14.25">
      <c r="A966" s="10">
        <v>2017</v>
      </c>
      <c r="B966" s="11" t="s">
        <v>476</v>
      </c>
      <c r="C966" s="11" t="s">
        <v>477</v>
      </c>
      <c r="D966" s="12">
        <v>3007042</v>
      </c>
      <c r="E966" s="12">
        <v>2</v>
      </c>
      <c r="F966" s="12"/>
      <c r="G966" s="12">
        <v>182</v>
      </c>
      <c r="H966" s="12" t="s">
        <v>342</v>
      </c>
      <c r="I966" s="12"/>
      <c r="J966" s="12" t="s">
        <v>343</v>
      </c>
      <c r="K966" s="12" t="b">
        <v>0</v>
      </c>
      <c r="L966" s="12">
        <v>2</v>
      </c>
      <c r="M966" s="8">
        <v>2019</v>
      </c>
      <c r="N966" s="9">
        <v>0</v>
      </c>
      <c r="O966" s="13">
        <v>42941</v>
      </c>
      <c r="P966" s="13">
        <v>42941</v>
      </c>
    </row>
    <row r="967" spans="1:16" ht="14.25">
      <c r="A967" s="10">
        <v>2017</v>
      </c>
      <c r="B967" s="11" t="s">
        <v>476</v>
      </c>
      <c r="C967" s="11" t="s">
        <v>477</v>
      </c>
      <c r="D967" s="12">
        <v>3007042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6</v>
      </c>
      <c r="M967" s="8">
        <v>2023</v>
      </c>
      <c r="N967" s="9">
        <v>0</v>
      </c>
      <c r="O967" s="13">
        <v>42941</v>
      </c>
      <c r="P967" s="13">
        <v>42941</v>
      </c>
    </row>
    <row r="968" spans="1:16" ht="14.25">
      <c r="A968" s="10">
        <v>2017</v>
      </c>
      <c r="B968" s="11" t="s">
        <v>476</v>
      </c>
      <c r="C968" s="11" t="s">
        <v>477</v>
      </c>
      <c r="D968" s="12">
        <v>3007042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8</v>
      </c>
      <c r="M968" s="8">
        <v>2025</v>
      </c>
      <c r="N968" s="9">
        <v>0</v>
      </c>
      <c r="O968" s="13">
        <v>42941</v>
      </c>
      <c r="P968" s="13">
        <v>42941</v>
      </c>
    </row>
    <row r="969" spans="1:16" ht="14.25">
      <c r="A969" s="10">
        <v>2017</v>
      </c>
      <c r="B969" s="11" t="s">
        <v>476</v>
      </c>
      <c r="C969" s="11" t="s">
        <v>477</v>
      </c>
      <c r="D969" s="12">
        <v>3007042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9</v>
      </c>
      <c r="M969" s="8">
        <v>2026</v>
      </c>
      <c r="N969" s="9">
        <v>0</v>
      </c>
      <c r="O969" s="13">
        <v>42941</v>
      </c>
      <c r="P969" s="13">
        <v>42941</v>
      </c>
    </row>
    <row r="970" spans="1:16" ht="14.25">
      <c r="A970" s="10">
        <v>2017</v>
      </c>
      <c r="B970" s="11" t="s">
        <v>476</v>
      </c>
      <c r="C970" s="11" t="s">
        <v>477</v>
      </c>
      <c r="D970" s="12">
        <v>3007042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0</v>
      </c>
      <c r="M970" s="8">
        <v>2017</v>
      </c>
      <c r="N970" s="9">
        <v>0</v>
      </c>
      <c r="O970" s="13">
        <v>42941</v>
      </c>
      <c r="P970" s="13">
        <v>42941</v>
      </c>
    </row>
    <row r="971" spans="1:16" ht="14.25">
      <c r="A971" s="10">
        <v>2017</v>
      </c>
      <c r="B971" s="11" t="s">
        <v>476</v>
      </c>
      <c r="C971" s="11" t="s">
        <v>477</v>
      </c>
      <c r="D971" s="12">
        <v>3007042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1</v>
      </c>
      <c r="M971" s="8">
        <v>2018</v>
      </c>
      <c r="N971" s="9">
        <v>0</v>
      </c>
      <c r="O971" s="13">
        <v>42941</v>
      </c>
      <c r="P971" s="13">
        <v>42941</v>
      </c>
    </row>
    <row r="972" spans="1:16" ht="14.25">
      <c r="A972" s="10">
        <v>2017</v>
      </c>
      <c r="B972" s="11" t="s">
        <v>476</v>
      </c>
      <c r="C972" s="11" t="s">
        <v>477</v>
      </c>
      <c r="D972" s="12">
        <v>3007042</v>
      </c>
      <c r="E972" s="12">
        <v>2</v>
      </c>
      <c r="F972" s="12"/>
      <c r="G972" s="12">
        <v>182</v>
      </c>
      <c r="H972" s="12" t="s">
        <v>342</v>
      </c>
      <c r="I972" s="12"/>
      <c r="J972" s="12" t="s">
        <v>343</v>
      </c>
      <c r="K972" s="12" t="b">
        <v>0</v>
      </c>
      <c r="L972" s="12">
        <v>7</v>
      </c>
      <c r="M972" s="8">
        <v>2024</v>
      </c>
      <c r="N972" s="9">
        <v>0</v>
      </c>
      <c r="O972" s="13">
        <v>42941</v>
      </c>
      <c r="P972" s="13">
        <v>42941</v>
      </c>
    </row>
    <row r="973" spans="1:16" ht="14.25">
      <c r="A973" s="10">
        <v>2017</v>
      </c>
      <c r="B973" s="11" t="s">
        <v>476</v>
      </c>
      <c r="C973" s="11" t="s">
        <v>477</v>
      </c>
      <c r="D973" s="12">
        <v>3007042</v>
      </c>
      <c r="E973" s="12">
        <v>2</v>
      </c>
      <c r="F973" s="12"/>
      <c r="G973" s="12">
        <v>410</v>
      </c>
      <c r="H973" s="12">
        <v>8</v>
      </c>
      <c r="I973" s="12"/>
      <c r="J973" s="12" t="s">
        <v>142</v>
      </c>
      <c r="K973" s="12" t="b">
        <v>1</v>
      </c>
      <c r="L973" s="12">
        <v>3</v>
      </c>
      <c r="M973" s="8">
        <v>2020</v>
      </c>
      <c r="N973" s="9">
        <v>0</v>
      </c>
      <c r="O973" s="13">
        <v>42941</v>
      </c>
      <c r="P973" s="13">
        <v>42941</v>
      </c>
    </row>
    <row r="974" spans="1:16" ht="14.25">
      <c r="A974" s="10">
        <v>2017</v>
      </c>
      <c r="B974" s="11" t="s">
        <v>476</v>
      </c>
      <c r="C974" s="11" t="s">
        <v>477</v>
      </c>
      <c r="D974" s="12">
        <v>3007042</v>
      </c>
      <c r="E974" s="12">
        <v>2</v>
      </c>
      <c r="F974" s="12"/>
      <c r="G974" s="12">
        <v>410</v>
      </c>
      <c r="H974" s="12">
        <v>8</v>
      </c>
      <c r="I974" s="12"/>
      <c r="J974" s="12" t="s">
        <v>142</v>
      </c>
      <c r="K974" s="12" t="b">
        <v>1</v>
      </c>
      <c r="L974" s="12">
        <v>9</v>
      </c>
      <c r="M974" s="8">
        <v>2026</v>
      </c>
      <c r="N974" s="9">
        <v>0</v>
      </c>
      <c r="O974" s="13">
        <v>42941</v>
      </c>
      <c r="P974" s="13">
        <v>42941</v>
      </c>
    </row>
    <row r="975" spans="1:16" ht="14.25">
      <c r="A975" s="10">
        <v>2017</v>
      </c>
      <c r="B975" s="11" t="s">
        <v>476</v>
      </c>
      <c r="C975" s="11" t="s">
        <v>477</v>
      </c>
      <c r="D975" s="12">
        <v>3007042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4</v>
      </c>
      <c r="M975" s="8">
        <v>2021</v>
      </c>
      <c r="N975" s="9">
        <v>0</v>
      </c>
      <c r="O975" s="13">
        <v>42941</v>
      </c>
      <c r="P975" s="13">
        <v>42941</v>
      </c>
    </row>
    <row r="976" spans="1:16" ht="14.25">
      <c r="A976" s="10">
        <v>2017</v>
      </c>
      <c r="B976" s="11" t="s">
        <v>476</v>
      </c>
      <c r="C976" s="11" t="s">
        <v>477</v>
      </c>
      <c r="D976" s="12">
        <v>3007042</v>
      </c>
      <c r="E976" s="12">
        <v>2</v>
      </c>
      <c r="F976" s="12"/>
      <c r="G976" s="12">
        <v>182</v>
      </c>
      <c r="H976" s="12" t="s">
        <v>342</v>
      </c>
      <c r="I976" s="12"/>
      <c r="J976" s="12" t="s">
        <v>343</v>
      </c>
      <c r="K976" s="12" t="b">
        <v>0</v>
      </c>
      <c r="L976" s="12">
        <v>5</v>
      </c>
      <c r="M976" s="8">
        <v>2022</v>
      </c>
      <c r="N976" s="9">
        <v>0</v>
      </c>
      <c r="O976" s="13">
        <v>42941</v>
      </c>
      <c r="P976" s="13">
        <v>42941</v>
      </c>
    </row>
    <row r="977" spans="1:16" ht="14.25">
      <c r="A977" s="10">
        <v>2017</v>
      </c>
      <c r="B977" s="11" t="s">
        <v>476</v>
      </c>
      <c r="C977" s="11" t="s">
        <v>477</v>
      </c>
      <c r="D977" s="12">
        <v>3007042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5</v>
      </c>
      <c r="M977" s="8">
        <v>2022</v>
      </c>
      <c r="N977" s="9">
        <v>0</v>
      </c>
      <c r="O977" s="13">
        <v>42941</v>
      </c>
      <c r="P977" s="13">
        <v>42941</v>
      </c>
    </row>
    <row r="978" spans="1:16" ht="14.25">
      <c r="A978" s="10">
        <v>2017</v>
      </c>
      <c r="B978" s="11" t="s">
        <v>476</v>
      </c>
      <c r="C978" s="11" t="s">
        <v>477</v>
      </c>
      <c r="D978" s="12">
        <v>3007042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4</v>
      </c>
      <c r="M978" s="8">
        <v>2021</v>
      </c>
      <c r="N978" s="9">
        <v>0</v>
      </c>
      <c r="O978" s="13">
        <v>42941</v>
      </c>
      <c r="P978" s="13">
        <v>42941</v>
      </c>
    </row>
    <row r="979" spans="1:16" ht="14.25">
      <c r="A979" s="10">
        <v>2017</v>
      </c>
      <c r="B979" s="11" t="s">
        <v>476</v>
      </c>
      <c r="C979" s="11" t="s">
        <v>477</v>
      </c>
      <c r="D979" s="12">
        <v>3007042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8</v>
      </c>
      <c r="M979" s="8">
        <v>2025</v>
      </c>
      <c r="N979" s="9">
        <v>0</v>
      </c>
      <c r="O979" s="13">
        <v>42941</v>
      </c>
      <c r="P979" s="13">
        <v>42941</v>
      </c>
    </row>
    <row r="980" spans="1:16" ht="14.25">
      <c r="A980" s="10">
        <v>2017</v>
      </c>
      <c r="B980" s="11" t="s">
        <v>476</v>
      </c>
      <c r="C980" s="11" t="s">
        <v>477</v>
      </c>
      <c r="D980" s="12">
        <v>3007042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7</v>
      </c>
      <c r="M980" s="8">
        <v>2024</v>
      </c>
      <c r="N980" s="9">
        <v>0</v>
      </c>
      <c r="O980" s="13">
        <v>42941</v>
      </c>
      <c r="P980" s="13">
        <v>42941</v>
      </c>
    </row>
    <row r="981" spans="1:16" ht="14.25">
      <c r="A981" s="10">
        <v>2017</v>
      </c>
      <c r="B981" s="11" t="s">
        <v>476</v>
      </c>
      <c r="C981" s="11" t="s">
        <v>477</v>
      </c>
      <c r="D981" s="12">
        <v>3007042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6</v>
      </c>
      <c r="M981" s="8">
        <v>2023</v>
      </c>
      <c r="N981" s="9">
        <v>0</v>
      </c>
      <c r="O981" s="13">
        <v>42941</v>
      </c>
      <c r="P981" s="13">
        <v>42941</v>
      </c>
    </row>
    <row r="982" spans="1:16" ht="14.25">
      <c r="A982" s="10">
        <v>2017</v>
      </c>
      <c r="B982" s="11" t="s">
        <v>476</v>
      </c>
      <c r="C982" s="11" t="s">
        <v>477</v>
      </c>
      <c r="D982" s="12">
        <v>3007042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3</v>
      </c>
      <c r="M982" s="8">
        <v>2020</v>
      </c>
      <c r="N982" s="9">
        <v>1375</v>
      </c>
      <c r="O982" s="13">
        <v>42941</v>
      </c>
      <c r="P982" s="13">
        <v>42941</v>
      </c>
    </row>
    <row r="983" spans="1:16" ht="14.25">
      <c r="A983" s="10">
        <v>2017</v>
      </c>
      <c r="B983" s="11" t="s">
        <v>476</v>
      </c>
      <c r="C983" s="11" t="s">
        <v>477</v>
      </c>
      <c r="D983" s="12">
        <v>3007042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2</v>
      </c>
      <c r="M983" s="8">
        <v>2019</v>
      </c>
      <c r="N983" s="9">
        <v>1375</v>
      </c>
      <c r="O983" s="13">
        <v>42941</v>
      </c>
      <c r="P983" s="13">
        <v>42941</v>
      </c>
    </row>
    <row r="984" spans="1:16" ht="14.25">
      <c r="A984" s="10">
        <v>2017</v>
      </c>
      <c r="B984" s="11" t="s">
        <v>476</v>
      </c>
      <c r="C984" s="11" t="s">
        <v>477</v>
      </c>
      <c r="D984" s="12">
        <v>3007042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1</v>
      </c>
      <c r="M984" s="8">
        <v>2018</v>
      </c>
      <c r="N984" s="9">
        <v>2152802.25</v>
      </c>
      <c r="O984" s="13">
        <v>42941</v>
      </c>
      <c r="P984" s="13">
        <v>42941</v>
      </c>
    </row>
    <row r="985" spans="1:16" ht="14.25">
      <c r="A985" s="10">
        <v>2017</v>
      </c>
      <c r="B985" s="11" t="s">
        <v>476</v>
      </c>
      <c r="C985" s="11" t="s">
        <v>477</v>
      </c>
      <c r="D985" s="12">
        <v>3007042</v>
      </c>
      <c r="E985" s="12">
        <v>2</v>
      </c>
      <c r="F985" s="12"/>
      <c r="G985" s="12">
        <v>763</v>
      </c>
      <c r="H985" s="12">
        <v>12.5</v>
      </c>
      <c r="I985" s="12"/>
      <c r="J985" s="12" t="s">
        <v>378</v>
      </c>
      <c r="K985" s="12" t="b">
        <v>1</v>
      </c>
      <c r="L985" s="12">
        <v>0</v>
      </c>
      <c r="M985" s="8">
        <v>2017</v>
      </c>
      <c r="N985" s="9">
        <v>2268453.05</v>
      </c>
      <c r="O985" s="13">
        <v>42941</v>
      </c>
      <c r="P985" s="13">
        <v>42941</v>
      </c>
    </row>
    <row r="986" spans="1:16" ht="14.25">
      <c r="A986" s="10">
        <v>2017</v>
      </c>
      <c r="B986" s="11" t="s">
        <v>476</v>
      </c>
      <c r="C986" s="11" t="s">
        <v>477</v>
      </c>
      <c r="D986" s="12">
        <v>3007042</v>
      </c>
      <c r="E986" s="12">
        <v>2</v>
      </c>
      <c r="F986" s="12"/>
      <c r="G986" s="12">
        <v>763</v>
      </c>
      <c r="H986" s="12">
        <v>12.5</v>
      </c>
      <c r="I986" s="12"/>
      <c r="J986" s="12" t="s">
        <v>378</v>
      </c>
      <c r="K986" s="12" t="b">
        <v>1</v>
      </c>
      <c r="L986" s="12">
        <v>9</v>
      </c>
      <c r="M986" s="8">
        <v>2026</v>
      </c>
      <c r="N986" s="9">
        <v>0</v>
      </c>
      <c r="O986" s="13">
        <v>42941</v>
      </c>
      <c r="P986" s="13">
        <v>42941</v>
      </c>
    </row>
    <row r="987" spans="1:16" ht="14.25">
      <c r="A987" s="10">
        <v>2017</v>
      </c>
      <c r="B987" s="11" t="s">
        <v>476</v>
      </c>
      <c r="C987" s="11" t="s">
        <v>477</v>
      </c>
      <c r="D987" s="12">
        <v>3007042</v>
      </c>
      <c r="E987" s="12">
        <v>2</v>
      </c>
      <c r="F987" s="12"/>
      <c r="G987" s="12">
        <v>410</v>
      </c>
      <c r="H987" s="12">
        <v>8</v>
      </c>
      <c r="I987" s="12"/>
      <c r="J987" s="12" t="s">
        <v>142</v>
      </c>
      <c r="K987" s="12" t="b">
        <v>1</v>
      </c>
      <c r="L987" s="12">
        <v>4</v>
      </c>
      <c r="M987" s="8">
        <v>2021</v>
      </c>
      <c r="N987" s="9">
        <v>0</v>
      </c>
      <c r="O987" s="13">
        <v>42941</v>
      </c>
      <c r="P987" s="13">
        <v>42941</v>
      </c>
    </row>
    <row r="988" spans="1:16" ht="14.25">
      <c r="A988" s="10">
        <v>2017</v>
      </c>
      <c r="B988" s="11" t="s">
        <v>476</v>
      </c>
      <c r="C988" s="11" t="s">
        <v>477</v>
      </c>
      <c r="D988" s="12">
        <v>3007042</v>
      </c>
      <c r="E988" s="12">
        <v>2</v>
      </c>
      <c r="F988" s="12"/>
      <c r="G988" s="12">
        <v>410</v>
      </c>
      <c r="H988" s="12">
        <v>8</v>
      </c>
      <c r="I988" s="12"/>
      <c r="J988" s="12" t="s">
        <v>142</v>
      </c>
      <c r="K988" s="12" t="b">
        <v>1</v>
      </c>
      <c r="L988" s="12">
        <v>0</v>
      </c>
      <c r="M988" s="8">
        <v>2017</v>
      </c>
      <c r="N988" s="9">
        <v>0</v>
      </c>
      <c r="O988" s="13">
        <v>42941</v>
      </c>
      <c r="P988" s="13">
        <v>42941</v>
      </c>
    </row>
    <row r="989" spans="1:16" ht="14.25">
      <c r="A989" s="10">
        <v>2017</v>
      </c>
      <c r="B989" s="11" t="s">
        <v>476</v>
      </c>
      <c r="C989" s="11" t="s">
        <v>477</v>
      </c>
      <c r="D989" s="12">
        <v>3007042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5</v>
      </c>
      <c r="M989" s="8">
        <v>2022</v>
      </c>
      <c r="N989" s="9">
        <v>0</v>
      </c>
      <c r="O989" s="13">
        <v>42941</v>
      </c>
      <c r="P989" s="13">
        <v>42941</v>
      </c>
    </row>
    <row r="990" spans="1:16" ht="14.25">
      <c r="A990" s="10">
        <v>2017</v>
      </c>
      <c r="B990" s="11" t="s">
        <v>476</v>
      </c>
      <c r="C990" s="11" t="s">
        <v>477</v>
      </c>
      <c r="D990" s="12">
        <v>3007042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1</v>
      </c>
      <c r="M990" s="8">
        <v>2018</v>
      </c>
      <c r="N990" s="9">
        <v>0</v>
      </c>
      <c r="O990" s="13">
        <v>42941</v>
      </c>
      <c r="P990" s="13">
        <v>42941</v>
      </c>
    </row>
    <row r="991" spans="1:16" ht="14.25">
      <c r="A991" s="10">
        <v>2017</v>
      </c>
      <c r="B991" s="11" t="s">
        <v>476</v>
      </c>
      <c r="C991" s="11" t="s">
        <v>477</v>
      </c>
      <c r="D991" s="12">
        <v>3007042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2</v>
      </c>
      <c r="M991" s="8">
        <v>2019</v>
      </c>
      <c r="N991" s="9">
        <v>0</v>
      </c>
      <c r="O991" s="13">
        <v>42941</v>
      </c>
      <c r="P991" s="13">
        <v>42941</v>
      </c>
    </row>
    <row r="992" spans="1:16" ht="14.25">
      <c r="A992" s="10">
        <v>2017</v>
      </c>
      <c r="B992" s="11" t="s">
        <v>476</v>
      </c>
      <c r="C992" s="11" t="s">
        <v>477</v>
      </c>
      <c r="D992" s="12">
        <v>3007042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6</v>
      </c>
      <c r="M992" s="8">
        <v>2023</v>
      </c>
      <c r="N992" s="9">
        <v>0</v>
      </c>
      <c r="O992" s="13">
        <v>42941</v>
      </c>
      <c r="P992" s="13">
        <v>42941</v>
      </c>
    </row>
    <row r="993" spans="1:16" ht="14.25">
      <c r="A993" s="10">
        <v>2017</v>
      </c>
      <c r="B993" s="11" t="s">
        <v>476</v>
      </c>
      <c r="C993" s="11" t="s">
        <v>477</v>
      </c>
      <c r="D993" s="12">
        <v>3007042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8</v>
      </c>
      <c r="M993" s="8">
        <v>2025</v>
      </c>
      <c r="N993" s="9">
        <v>0</v>
      </c>
      <c r="O993" s="13">
        <v>42941</v>
      </c>
      <c r="P993" s="13">
        <v>42941</v>
      </c>
    </row>
    <row r="994" spans="1:16" ht="14.25">
      <c r="A994" s="10">
        <v>2017</v>
      </c>
      <c r="B994" s="11" t="s">
        <v>476</v>
      </c>
      <c r="C994" s="11" t="s">
        <v>477</v>
      </c>
      <c r="D994" s="12">
        <v>3007042</v>
      </c>
      <c r="E994" s="12">
        <v>2</v>
      </c>
      <c r="F994" s="12"/>
      <c r="G994" s="12">
        <v>540</v>
      </c>
      <c r="H994" s="12" t="s">
        <v>80</v>
      </c>
      <c r="I994" s="12" t="s">
        <v>485</v>
      </c>
      <c r="J994" s="12" t="s">
        <v>374</v>
      </c>
      <c r="K994" s="12" t="b">
        <v>0</v>
      </c>
      <c r="L994" s="12">
        <v>6</v>
      </c>
      <c r="M994" s="8">
        <v>2023</v>
      </c>
      <c r="N994" s="9">
        <v>216</v>
      </c>
      <c r="O994" s="13">
        <v>42941</v>
      </c>
      <c r="P994" s="13">
        <v>42941</v>
      </c>
    </row>
    <row r="995" spans="1:16" ht="14.25">
      <c r="A995" s="10">
        <v>2017</v>
      </c>
      <c r="B995" s="11" t="s">
        <v>476</v>
      </c>
      <c r="C995" s="11" t="s">
        <v>477</v>
      </c>
      <c r="D995" s="12">
        <v>3007042</v>
      </c>
      <c r="E995" s="12">
        <v>2</v>
      </c>
      <c r="F995" s="12"/>
      <c r="G995" s="12">
        <v>540</v>
      </c>
      <c r="H995" s="12" t="s">
        <v>80</v>
      </c>
      <c r="I995" s="12" t="s">
        <v>485</v>
      </c>
      <c r="J995" s="12" t="s">
        <v>374</v>
      </c>
      <c r="K995" s="12" t="b">
        <v>0</v>
      </c>
      <c r="L995" s="12">
        <v>3</v>
      </c>
      <c r="M995" s="8">
        <v>2020</v>
      </c>
      <c r="N995" s="9">
        <v>233</v>
      </c>
      <c r="O995" s="13">
        <v>42941</v>
      </c>
      <c r="P995" s="13">
        <v>42941</v>
      </c>
    </row>
    <row r="996" spans="1:16" ht="14.25">
      <c r="A996" s="10">
        <v>2017</v>
      </c>
      <c r="B996" s="11" t="s">
        <v>476</v>
      </c>
      <c r="C996" s="11" t="s">
        <v>477</v>
      </c>
      <c r="D996" s="12">
        <v>3007042</v>
      </c>
      <c r="E996" s="12">
        <v>2</v>
      </c>
      <c r="F996" s="12"/>
      <c r="G996" s="12">
        <v>540</v>
      </c>
      <c r="H996" s="12" t="s">
        <v>80</v>
      </c>
      <c r="I996" s="12" t="s">
        <v>485</v>
      </c>
      <c r="J996" s="12" t="s">
        <v>374</v>
      </c>
      <c r="K996" s="12" t="b">
        <v>0</v>
      </c>
      <c r="L996" s="12">
        <v>8</v>
      </c>
      <c r="M996" s="8">
        <v>2025</v>
      </c>
      <c r="N996" s="9">
        <v>251</v>
      </c>
      <c r="O996" s="13">
        <v>42941</v>
      </c>
      <c r="P996" s="13">
        <v>42941</v>
      </c>
    </row>
    <row r="997" spans="1:16" ht="14.25">
      <c r="A997" s="10">
        <v>2017</v>
      </c>
      <c r="B997" s="11" t="s">
        <v>476</v>
      </c>
      <c r="C997" s="11" t="s">
        <v>477</v>
      </c>
      <c r="D997" s="12">
        <v>3007042</v>
      </c>
      <c r="E997" s="12">
        <v>2</v>
      </c>
      <c r="F997" s="12"/>
      <c r="G997" s="12">
        <v>540</v>
      </c>
      <c r="H997" s="12" t="s">
        <v>80</v>
      </c>
      <c r="I997" s="12" t="s">
        <v>485</v>
      </c>
      <c r="J997" s="12" t="s">
        <v>374</v>
      </c>
      <c r="K997" s="12" t="b">
        <v>0</v>
      </c>
      <c r="L997" s="12">
        <v>4</v>
      </c>
      <c r="M997" s="8">
        <v>2021</v>
      </c>
      <c r="N997" s="9">
        <v>213</v>
      </c>
      <c r="O997" s="13">
        <v>42941</v>
      </c>
      <c r="P997" s="13">
        <v>42941</v>
      </c>
    </row>
    <row r="998" spans="1:16" ht="14.25">
      <c r="A998" s="10">
        <v>2017</v>
      </c>
      <c r="B998" s="11" t="s">
        <v>476</v>
      </c>
      <c r="C998" s="11" t="s">
        <v>477</v>
      </c>
      <c r="D998" s="12">
        <v>3007042</v>
      </c>
      <c r="E998" s="12">
        <v>2</v>
      </c>
      <c r="F998" s="12"/>
      <c r="G998" s="12">
        <v>540</v>
      </c>
      <c r="H998" s="12" t="s">
        <v>80</v>
      </c>
      <c r="I998" s="12" t="s">
        <v>485</v>
      </c>
      <c r="J998" s="12" t="s">
        <v>374</v>
      </c>
      <c r="K998" s="12" t="b">
        <v>0</v>
      </c>
      <c r="L998" s="12">
        <v>1</v>
      </c>
      <c r="M998" s="8">
        <v>2018</v>
      </c>
      <c r="N998" s="9">
        <v>961</v>
      </c>
      <c r="O998" s="13">
        <v>42941</v>
      </c>
      <c r="P998" s="13">
        <v>42941</v>
      </c>
    </row>
    <row r="999" spans="1:16" ht="14.25">
      <c r="A999" s="10">
        <v>2017</v>
      </c>
      <c r="B999" s="11" t="s">
        <v>476</v>
      </c>
      <c r="C999" s="11" t="s">
        <v>477</v>
      </c>
      <c r="D999" s="12">
        <v>3007042</v>
      </c>
      <c r="E999" s="12">
        <v>2</v>
      </c>
      <c r="F999" s="12"/>
      <c r="G999" s="12">
        <v>540</v>
      </c>
      <c r="H999" s="12" t="s">
        <v>80</v>
      </c>
      <c r="I999" s="12" t="s">
        <v>485</v>
      </c>
      <c r="J999" s="12" t="s">
        <v>374</v>
      </c>
      <c r="K999" s="12" t="b">
        <v>0</v>
      </c>
      <c r="L999" s="12">
        <v>5</v>
      </c>
      <c r="M999" s="8">
        <v>2022</v>
      </c>
      <c r="N999" s="9">
        <v>242</v>
      </c>
      <c r="O999" s="13">
        <v>42941</v>
      </c>
      <c r="P999" s="13">
        <v>42941</v>
      </c>
    </row>
    <row r="1000" spans="1:16" ht="14.25">
      <c r="A1000" s="10">
        <v>2017</v>
      </c>
      <c r="B1000" s="11" t="s">
        <v>476</v>
      </c>
      <c r="C1000" s="11" t="s">
        <v>477</v>
      </c>
      <c r="D1000" s="12">
        <v>3007042</v>
      </c>
      <c r="E1000" s="12">
        <v>2</v>
      </c>
      <c r="F1000" s="12"/>
      <c r="G1000" s="12">
        <v>540</v>
      </c>
      <c r="H1000" s="12" t="s">
        <v>80</v>
      </c>
      <c r="I1000" s="12" t="s">
        <v>485</v>
      </c>
      <c r="J1000" s="12" t="s">
        <v>374</v>
      </c>
      <c r="K1000" s="12" t="b">
        <v>0</v>
      </c>
      <c r="L1000" s="12">
        <v>7</v>
      </c>
      <c r="M1000" s="8">
        <v>2024</v>
      </c>
      <c r="N1000" s="9">
        <v>213</v>
      </c>
      <c r="O1000" s="13">
        <v>42941</v>
      </c>
      <c r="P1000" s="13">
        <v>42941</v>
      </c>
    </row>
    <row r="1001" spans="1:16" ht="14.25">
      <c r="A1001" s="10">
        <v>2017</v>
      </c>
      <c r="B1001" s="11" t="s">
        <v>476</v>
      </c>
      <c r="C1001" s="11" t="s">
        <v>477</v>
      </c>
      <c r="D1001" s="12">
        <v>3007042</v>
      </c>
      <c r="E1001" s="12">
        <v>2</v>
      </c>
      <c r="F1001" s="12"/>
      <c r="G1001" s="12">
        <v>540</v>
      </c>
      <c r="H1001" s="12" t="s">
        <v>80</v>
      </c>
      <c r="I1001" s="12" t="s">
        <v>485</v>
      </c>
      <c r="J1001" s="12" t="s">
        <v>374</v>
      </c>
      <c r="K1001" s="12" t="b">
        <v>0</v>
      </c>
      <c r="L1001" s="12">
        <v>9</v>
      </c>
      <c r="M1001" s="8">
        <v>2026</v>
      </c>
      <c r="N1001" s="9">
        <v>411</v>
      </c>
      <c r="O1001" s="13">
        <v>42941</v>
      </c>
      <c r="P1001" s="13">
        <v>42941</v>
      </c>
    </row>
    <row r="1002" spans="1:16" ht="14.25">
      <c r="A1002" s="10">
        <v>2017</v>
      </c>
      <c r="B1002" s="11" t="s">
        <v>476</v>
      </c>
      <c r="C1002" s="11" t="s">
        <v>477</v>
      </c>
      <c r="D1002" s="12">
        <v>3007042</v>
      </c>
      <c r="E1002" s="12">
        <v>2</v>
      </c>
      <c r="F1002" s="12"/>
      <c r="G1002" s="12">
        <v>590</v>
      </c>
      <c r="H1002" s="12">
        <v>11.2</v>
      </c>
      <c r="I1002" s="12"/>
      <c r="J1002" s="12" t="s">
        <v>85</v>
      </c>
      <c r="K1002" s="12" t="b">
        <v>1</v>
      </c>
      <c r="L1002" s="12">
        <v>1</v>
      </c>
      <c r="M1002" s="8">
        <v>2018</v>
      </c>
      <c r="N1002" s="9">
        <v>3510000</v>
      </c>
      <c r="O1002" s="13">
        <v>42941</v>
      </c>
      <c r="P1002" s="13">
        <v>42941</v>
      </c>
    </row>
    <row r="1003" spans="1:16" ht="14.25">
      <c r="A1003" s="10">
        <v>2017</v>
      </c>
      <c r="B1003" s="11" t="s">
        <v>476</v>
      </c>
      <c r="C1003" s="11" t="s">
        <v>477</v>
      </c>
      <c r="D1003" s="12">
        <v>3007042</v>
      </c>
      <c r="E1003" s="12">
        <v>2</v>
      </c>
      <c r="F1003" s="12"/>
      <c r="G1003" s="12">
        <v>540</v>
      </c>
      <c r="H1003" s="12" t="s">
        <v>80</v>
      </c>
      <c r="I1003" s="12" t="s">
        <v>485</v>
      </c>
      <c r="J1003" s="12" t="s">
        <v>374</v>
      </c>
      <c r="K1003" s="12" t="b">
        <v>0</v>
      </c>
      <c r="L1003" s="12">
        <v>2</v>
      </c>
      <c r="M1003" s="8">
        <v>2019</v>
      </c>
      <c r="N1003" s="9">
        <v>554</v>
      </c>
      <c r="O1003" s="13">
        <v>42941</v>
      </c>
      <c r="P1003" s="13">
        <v>42941</v>
      </c>
    </row>
    <row r="1004" spans="1:16" ht="14.25">
      <c r="A1004" s="10">
        <v>2017</v>
      </c>
      <c r="B1004" s="11" t="s">
        <v>476</v>
      </c>
      <c r="C1004" s="11" t="s">
        <v>477</v>
      </c>
      <c r="D1004" s="12">
        <v>3007042</v>
      </c>
      <c r="E1004" s="12">
        <v>2</v>
      </c>
      <c r="F1004" s="12"/>
      <c r="G1004" s="12">
        <v>540</v>
      </c>
      <c r="H1004" s="12" t="s">
        <v>80</v>
      </c>
      <c r="I1004" s="12" t="s">
        <v>485</v>
      </c>
      <c r="J1004" s="12" t="s">
        <v>374</v>
      </c>
      <c r="K1004" s="12" t="b">
        <v>0</v>
      </c>
      <c r="L1004" s="12">
        <v>0</v>
      </c>
      <c r="M1004" s="8">
        <v>2017</v>
      </c>
      <c r="N1004" s="9">
        <v>1255</v>
      </c>
      <c r="O1004" s="13">
        <v>42941</v>
      </c>
      <c r="P1004" s="13">
        <v>42941</v>
      </c>
    </row>
    <row r="1005" spans="1:16" ht="14.25">
      <c r="A1005" s="10">
        <v>2017</v>
      </c>
      <c r="B1005" s="11" t="s">
        <v>476</v>
      </c>
      <c r="C1005" s="11" t="s">
        <v>477</v>
      </c>
      <c r="D1005" s="12">
        <v>3007042</v>
      </c>
      <c r="E1005" s="12">
        <v>2</v>
      </c>
      <c r="F1005" s="12"/>
      <c r="G1005" s="12">
        <v>184</v>
      </c>
      <c r="H1005" s="12" t="s">
        <v>344</v>
      </c>
      <c r="I1005" s="12"/>
      <c r="J1005" s="12" t="s">
        <v>345</v>
      </c>
      <c r="K1005" s="12" t="b">
        <v>0</v>
      </c>
      <c r="L1005" s="12">
        <v>0</v>
      </c>
      <c r="M1005" s="8">
        <v>2017</v>
      </c>
      <c r="N1005" s="9">
        <v>0</v>
      </c>
      <c r="O1005" s="13">
        <v>42941</v>
      </c>
      <c r="P1005" s="13">
        <v>42941</v>
      </c>
    </row>
    <row r="1006" spans="1:16" ht="14.25">
      <c r="A1006" s="10">
        <v>2017</v>
      </c>
      <c r="B1006" s="11" t="s">
        <v>476</v>
      </c>
      <c r="C1006" s="11" t="s">
        <v>477</v>
      </c>
      <c r="D1006" s="12">
        <v>3007042</v>
      </c>
      <c r="E1006" s="12">
        <v>2</v>
      </c>
      <c r="F1006" s="12"/>
      <c r="G1006" s="12">
        <v>184</v>
      </c>
      <c r="H1006" s="12" t="s">
        <v>344</v>
      </c>
      <c r="I1006" s="12"/>
      <c r="J1006" s="12" t="s">
        <v>345</v>
      </c>
      <c r="K1006" s="12" t="b">
        <v>0</v>
      </c>
      <c r="L1006" s="12">
        <v>9</v>
      </c>
      <c r="M1006" s="8">
        <v>2026</v>
      </c>
      <c r="N1006" s="9">
        <v>0</v>
      </c>
      <c r="O1006" s="13">
        <v>42941</v>
      </c>
      <c r="P1006" s="13">
        <v>42941</v>
      </c>
    </row>
    <row r="1007" spans="1:16" ht="14.25">
      <c r="A1007" s="10">
        <v>2017</v>
      </c>
      <c r="B1007" s="11" t="s">
        <v>476</v>
      </c>
      <c r="C1007" s="11" t="s">
        <v>477</v>
      </c>
      <c r="D1007" s="12">
        <v>3007042</v>
      </c>
      <c r="E1007" s="12">
        <v>2</v>
      </c>
      <c r="F1007" s="12"/>
      <c r="G1007" s="12">
        <v>184</v>
      </c>
      <c r="H1007" s="12" t="s">
        <v>344</v>
      </c>
      <c r="I1007" s="12"/>
      <c r="J1007" s="12" t="s">
        <v>345</v>
      </c>
      <c r="K1007" s="12" t="b">
        <v>0</v>
      </c>
      <c r="L1007" s="12">
        <v>3</v>
      </c>
      <c r="M1007" s="8">
        <v>2020</v>
      </c>
      <c r="N1007" s="9">
        <v>0</v>
      </c>
      <c r="O1007" s="13">
        <v>42941</v>
      </c>
      <c r="P1007" s="13">
        <v>42941</v>
      </c>
    </row>
    <row r="1008" spans="1:16" ht="14.25">
      <c r="A1008" s="10">
        <v>2017</v>
      </c>
      <c r="B1008" s="11" t="s">
        <v>476</v>
      </c>
      <c r="C1008" s="11" t="s">
        <v>477</v>
      </c>
      <c r="D1008" s="12">
        <v>3007042</v>
      </c>
      <c r="E1008" s="12">
        <v>2</v>
      </c>
      <c r="F1008" s="12"/>
      <c r="G1008" s="12">
        <v>184</v>
      </c>
      <c r="H1008" s="12" t="s">
        <v>344</v>
      </c>
      <c r="I1008" s="12"/>
      <c r="J1008" s="12" t="s">
        <v>345</v>
      </c>
      <c r="K1008" s="12" t="b">
        <v>0</v>
      </c>
      <c r="L1008" s="12">
        <v>5</v>
      </c>
      <c r="M1008" s="8">
        <v>2022</v>
      </c>
      <c r="N1008" s="9">
        <v>0</v>
      </c>
      <c r="O1008" s="13">
        <v>42941</v>
      </c>
      <c r="P1008" s="13">
        <v>42941</v>
      </c>
    </row>
    <row r="1009" spans="1:16" ht="14.25">
      <c r="A1009" s="10">
        <v>2017</v>
      </c>
      <c r="B1009" s="11" t="s">
        <v>476</v>
      </c>
      <c r="C1009" s="11" t="s">
        <v>477</v>
      </c>
      <c r="D1009" s="12">
        <v>3007042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7</v>
      </c>
      <c r="M1009" s="8">
        <v>2024</v>
      </c>
      <c r="N1009" s="9">
        <v>0</v>
      </c>
      <c r="O1009" s="13">
        <v>42941</v>
      </c>
      <c r="P1009" s="13">
        <v>42941</v>
      </c>
    </row>
    <row r="1010" spans="1:16" ht="14.25">
      <c r="A1010" s="10">
        <v>2017</v>
      </c>
      <c r="B1010" s="11" t="s">
        <v>476</v>
      </c>
      <c r="C1010" s="11" t="s">
        <v>477</v>
      </c>
      <c r="D1010" s="12">
        <v>3007042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2</v>
      </c>
      <c r="M1010" s="8">
        <v>2019</v>
      </c>
      <c r="N1010" s="9">
        <v>0</v>
      </c>
      <c r="O1010" s="13">
        <v>42941</v>
      </c>
      <c r="P1010" s="13">
        <v>42941</v>
      </c>
    </row>
    <row r="1011" spans="1:16" ht="14.25">
      <c r="A1011" s="10">
        <v>2017</v>
      </c>
      <c r="B1011" s="11" t="s">
        <v>476</v>
      </c>
      <c r="C1011" s="11" t="s">
        <v>477</v>
      </c>
      <c r="D1011" s="12">
        <v>3007042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1</v>
      </c>
      <c r="M1011" s="8">
        <v>2018</v>
      </c>
      <c r="N1011" s="9">
        <v>0</v>
      </c>
      <c r="O1011" s="13">
        <v>42941</v>
      </c>
      <c r="P1011" s="13">
        <v>42941</v>
      </c>
    </row>
    <row r="1012" spans="1:16" ht="14.25">
      <c r="A1012" s="10">
        <v>2017</v>
      </c>
      <c r="B1012" s="11" t="s">
        <v>476</v>
      </c>
      <c r="C1012" s="11" t="s">
        <v>477</v>
      </c>
      <c r="D1012" s="12">
        <v>3007042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4</v>
      </c>
      <c r="M1012" s="8">
        <v>2021</v>
      </c>
      <c r="N1012" s="9">
        <v>0</v>
      </c>
      <c r="O1012" s="13">
        <v>42941</v>
      </c>
      <c r="P1012" s="13">
        <v>42941</v>
      </c>
    </row>
    <row r="1013" spans="1:16" ht="14.25">
      <c r="A1013" s="10">
        <v>2017</v>
      </c>
      <c r="B1013" s="11" t="s">
        <v>476</v>
      </c>
      <c r="C1013" s="11" t="s">
        <v>477</v>
      </c>
      <c r="D1013" s="12">
        <v>3007042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6</v>
      </c>
      <c r="M1013" s="8">
        <v>2023</v>
      </c>
      <c r="N1013" s="9">
        <v>0</v>
      </c>
      <c r="O1013" s="13">
        <v>42941</v>
      </c>
      <c r="P1013" s="13">
        <v>42941</v>
      </c>
    </row>
    <row r="1014" spans="1:16" ht="14.25">
      <c r="A1014" s="10">
        <v>2017</v>
      </c>
      <c r="B1014" s="11" t="s">
        <v>476</v>
      </c>
      <c r="C1014" s="11" t="s">
        <v>477</v>
      </c>
      <c r="D1014" s="12">
        <v>3007042</v>
      </c>
      <c r="E1014" s="12">
        <v>2</v>
      </c>
      <c r="F1014" s="12"/>
      <c r="G1014" s="12">
        <v>184</v>
      </c>
      <c r="H1014" s="12" t="s">
        <v>344</v>
      </c>
      <c r="I1014" s="12"/>
      <c r="J1014" s="12" t="s">
        <v>345</v>
      </c>
      <c r="K1014" s="12" t="b">
        <v>0</v>
      </c>
      <c r="L1014" s="12">
        <v>8</v>
      </c>
      <c r="M1014" s="8">
        <v>2025</v>
      </c>
      <c r="N1014" s="9">
        <v>0</v>
      </c>
      <c r="O1014" s="13">
        <v>42941</v>
      </c>
      <c r="P1014" s="13">
        <v>42941</v>
      </c>
    </row>
    <row r="1015" spans="1:16" ht="14.25">
      <c r="A1015" s="10">
        <v>2017</v>
      </c>
      <c r="B1015" s="11" t="s">
        <v>476</v>
      </c>
      <c r="C1015" s="11" t="s">
        <v>477</v>
      </c>
      <c r="D1015" s="12">
        <v>3007042</v>
      </c>
      <c r="E1015" s="12">
        <v>2</v>
      </c>
      <c r="F1015" s="12"/>
      <c r="G1015" s="12">
        <v>590</v>
      </c>
      <c r="H1015" s="12">
        <v>11.2</v>
      </c>
      <c r="I1015" s="12"/>
      <c r="J1015" s="12" t="s">
        <v>85</v>
      </c>
      <c r="K1015" s="12" t="b">
        <v>1</v>
      </c>
      <c r="L1015" s="12">
        <v>2</v>
      </c>
      <c r="M1015" s="8">
        <v>2019</v>
      </c>
      <c r="N1015" s="9">
        <v>3520000</v>
      </c>
      <c r="O1015" s="13">
        <v>42941</v>
      </c>
      <c r="P1015" s="13">
        <v>42941</v>
      </c>
    </row>
    <row r="1016" spans="1:16" ht="14.25">
      <c r="A1016" s="10">
        <v>2017</v>
      </c>
      <c r="B1016" s="11" t="s">
        <v>476</v>
      </c>
      <c r="C1016" s="11" t="s">
        <v>477</v>
      </c>
      <c r="D1016" s="12">
        <v>3007042</v>
      </c>
      <c r="E1016" s="12">
        <v>2</v>
      </c>
      <c r="F1016" s="12"/>
      <c r="G1016" s="12">
        <v>590</v>
      </c>
      <c r="H1016" s="12">
        <v>11.2</v>
      </c>
      <c r="I1016" s="12"/>
      <c r="J1016" s="12" t="s">
        <v>85</v>
      </c>
      <c r="K1016" s="12" t="b">
        <v>1</v>
      </c>
      <c r="L1016" s="12">
        <v>7</v>
      </c>
      <c r="M1016" s="8">
        <v>2024</v>
      </c>
      <c r="N1016" s="9">
        <v>3560000</v>
      </c>
      <c r="O1016" s="13">
        <v>42941</v>
      </c>
      <c r="P1016" s="13">
        <v>42941</v>
      </c>
    </row>
    <row r="1017" spans="1:16" ht="14.25">
      <c r="A1017" s="10">
        <v>2017</v>
      </c>
      <c r="B1017" s="11" t="s">
        <v>476</v>
      </c>
      <c r="C1017" s="11" t="s">
        <v>477</v>
      </c>
      <c r="D1017" s="12">
        <v>3007042</v>
      </c>
      <c r="E1017" s="12">
        <v>2</v>
      </c>
      <c r="F1017" s="12"/>
      <c r="G1017" s="12">
        <v>590</v>
      </c>
      <c r="H1017" s="12">
        <v>11.2</v>
      </c>
      <c r="I1017" s="12"/>
      <c r="J1017" s="12" t="s">
        <v>85</v>
      </c>
      <c r="K1017" s="12" t="b">
        <v>1</v>
      </c>
      <c r="L1017" s="12">
        <v>3</v>
      </c>
      <c r="M1017" s="8">
        <v>2020</v>
      </c>
      <c r="N1017" s="9">
        <v>3530000</v>
      </c>
      <c r="O1017" s="13">
        <v>42941</v>
      </c>
      <c r="P1017" s="13">
        <v>42941</v>
      </c>
    </row>
    <row r="1018" spans="1:16" ht="14.25">
      <c r="A1018" s="10">
        <v>2017</v>
      </c>
      <c r="B1018" s="11" t="s">
        <v>476</v>
      </c>
      <c r="C1018" s="11" t="s">
        <v>477</v>
      </c>
      <c r="D1018" s="12">
        <v>3007042</v>
      </c>
      <c r="E1018" s="12">
        <v>2</v>
      </c>
      <c r="F1018" s="12"/>
      <c r="G1018" s="12">
        <v>590</v>
      </c>
      <c r="H1018" s="12">
        <v>11.2</v>
      </c>
      <c r="I1018" s="12"/>
      <c r="J1018" s="12" t="s">
        <v>85</v>
      </c>
      <c r="K1018" s="12" t="b">
        <v>1</v>
      </c>
      <c r="L1018" s="12">
        <v>8</v>
      </c>
      <c r="M1018" s="8">
        <v>2025</v>
      </c>
      <c r="N1018" s="9">
        <v>3560000</v>
      </c>
      <c r="O1018" s="13">
        <v>42941</v>
      </c>
      <c r="P1018" s="13">
        <v>42941</v>
      </c>
    </row>
    <row r="1019" spans="1:16" ht="14.25">
      <c r="A1019" s="10">
        <v>2017</v>
      </c>
      <c r="B1019" s="11" t="s">
        <v>476</v>
      </c>
      <c r="C1019" s="11" t="s">
        <v>477</v>
      </c>
      <c r="D1019" s="12">
        <v>3007042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0</v>
      </c>
      <c r="M1019" s="8">
        <v>2017</v>
      </c>
      <c r="N1019" s="9">
        <v>3631363</v>
      </c>
      <c r="O1019" s="13">
        <v>42941</v>
      </c>
      <c r="P1019" s="13">
        <v>42941</v>
      </c>
    </row>
    <row r="1020" spans="1:16" ht="14.25">
      <c r="A1020" s="10">
        <v>2017</v>
      </c>
      <c r="B1020" s="11" t="s">
        <v>476</v>
      </c>
      <c r="C1020" s="11" t="s">
        <v>477</v>
      </c>
      <c r="D1020" s="12">
        <v>3007042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4</v>
      </c>
      <c r="M1020" s="8">
        <v>2021</v>
      </c>
      <c r="N1020" s="9">
        <v>3540000</v>
      </c>
      <c r="O1020" s="13">
        <v>42941</v>
      </c>
      <c r="P1020" s="13">
        <v>42941</v>
      </c>
    </row>
    <row r="1021" spans="1:16" ht="14.25">
      <c r="A1021" s="10">
        <v>2017</v>
      </c>
      <c r="B1021" s="11" t="s">
        <v>476</v>
      </c>
      <c r="C1021" s="11" t="s">
        <v>477</v>
      </c>
      <c r="D1021" s="12">
        <v>3007042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9</v>
      </c>
      <c r="M1021" s="8">
        <v>2026</v>
      </c>
      <c r="N1021" s="9">
        <v>3560000</v>
      </c>
      <c r="O1021" s="13">
        <v>42941</v>
      </c>
      <c r="P1021" s="13">
        <v>42941</v>
      </c>
    </row>
    <row r="1022" spans="1:16" ht="14.25">
      <c r="A1022" s="10">
        <v>2017</v>
      </c>
      <c r="B1022" s="11" t="s">
        <v>476</v>
      </c>
      <c r="C1022" s="11" t="s">
        <v>477</v>
      </c>
      <c r="D1022" s="12">
        <v>3007042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5</v>
      </c>
      <c r="M1022" s="8">
        <v>2022</v>
      </c>
      <c r="N1022" s="9">
        <v>3550000</v>
      </c>
      <c r="O1022" s="13">
        <v>42941</v>
      </c>
      <c r="P1022" s="13">
        <v>42941</v>
      </c>
    </row>
    <row r="1023" spans="1:16" ht="14.25">
      <c r="A1023" s="10">
        <v>2017</v>
      </c>
      <c r="B1023" s="11" t="s">
        <v>476</v>
      </c>
      <c r="C1023" s="11" t="s">
        <v>477</v>
      </c>
      <c r="D1023" s="12">
        <v>3007042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6</v>
      </c>
      <c r="M1023" s="8">
        <v>2023</v>
      </c>
      <c r="N1023" s="9">
        <v>3560000</v>
      </c>
      <c r="O1023" s="13">
        <v>42941</v>
      </c>
      <c r="P1023" s="13">
        <v>42941</v>
      </c>
    </row>
    <row r="1024" spans="1:16" ht="14.25">
      <c r="A1024" s="10">
        <v>2017</v>
      </c>
      <c r="B1024" s="11" t="s">
        <v>476</v>
      </c>
      <c r="C1024" s="11" t="s">
        <v>477</v>
      </c>
      <c r="D1024" s="12">
        <v>3007042</v>
      </c>
      <c r="E1024" s="12">
        <v>2</v>
      </c>
      <c r="F1024" s="12"/>
      <c r="G1024" s="12">
        <v>700</v>
      </c>
      <c r="H1024" s="12">
        <v>12.2</v>
      </c>
      <c r="I1024" s="12"/>
      <c r="J1024" s="12" t="s">
        <v>99</v>
      </c>
      <c r="K1024" s="12" t="b">
        <v>0</v>
      </c>
      <c r="L1024" s="12">
        <v>8</v>
      </c>
      <c r="M1024" s="8">
        <v>2025</v>
      </c>
      <c r="N1024" s="9">
        <v>0</v>
      </c>
      <c r="O1024" s="13">
        <v>42941</v>
      </c>
      <c r="P1024" s="13">
        <v>42941</v>
      </c>
    </row>
    <row r="1025" spans="1:16" ht="14.25">
      <c r="A1025" s="10">
        <v>2017</v>
      </c>
      <c r="B1025" s="11" t="s">
        <v>476</v>
      </c>
      <c r="C1025" s="11" t="s">
        <v>477</v>
      </c>
      <c r="D1025" s="12">
        <v>3007042</v>
      </c>
      <c r="E1025" s="12">
        <v>2</v>
      </c>
      <c r="F1025" s="12"/>
      <c r="G1025" s="12">
        <v>700</v>
      </c>
      <c r="H1025" s="12">
        <v>12.2</v>
      </c>
      <c r="I1025" s="12"/>
      <c r="J1025" s="12" t="s">
        <v>99</v>
      </c>
      <c r="K1025" s="12" t="b">
        <v>0</v>
      </c>
      <c r="L1025" s="12">
        <v>2</v>
      </c>
      <c r="M1025" s="8">
        <v>2019</v>
      </c>
      <c r="N1025" s="9">
        <v>0</v>
      </c>
      <c r="O1025" s="13">
        <v>42941</v>
      </c>
      <c r="P1025" s="13">
        <v>42941</v>
      </c>
    </row>
    <row r="1026" spans="1:16" ht="14.25">
      <c r="A1026" s="10">
        <v>2017</v>
      </c>
      <c r="B1026" s="11" t="s">
        <v>476</v>
      </c>
      <c r="C1026" s="11" t="s">
        <v>477</v>
      </c>
      <c r="D1026" s="12">
        <v>3007042</v>
      </c>
      <c r="E1026" s="12">
        <v>2</v>
      </c>
      <c r="F1026" s="12"/>
      <c r="G1026" s="12">
        <v>700</v>
      </c>
      <c r="H1026" s="12">
        <v>12.2</v>
      </c>
      <c r="I1026" s="12"/>
      <c r="J1026" s="12" t="s">
        <v>99</v>
      </c>
      <c r="K1026" s="12" t="b">
        <v>0</v>
      </c>
      <c r="L1026" s="12">
        <v>3</v>
      </c>
      <c r="M1026" s="8">
        <v>2020</v>
      </c>
      <c r="N1026" s="9">
        <v>0</v>
      </c>
      <c r="O1026" s="13">
        <v>42941</v>
      </c>
      <c r="P1026" s="13">
        <v>42941</v>
      </c>
    </row>
    <row r="1027" spans="1:16" ht="14.25">
      <c r="A1027" s="10">
        <v>2017</v>
      </c>
      <c r="B1027" s="11" t="s">
        <v>476</v>
      </c>
      <c r="C1027" s="11" t="s">
        <v>477</v>
      </c>
      <c r="D1027" s="12">
        <v>3007042</v>
      </c>
      <c r="E1027" s="12">
        <v>2</v>
      </c>
      <c r="F1027" s="12"/>
      <c r="G1027" s="12">
        <v>700</v>
      </c>
      <c r="H1027" s="12">
        <v>12.2</v>
      </c>
      <c r="I1027" s="12"/>
      <c r="J1027" s="12" t="s">
        <v>99</v>
      </c>
      <c r="K1027" s="12" t="b">
        <v>0</v>
      </c>
      <c r="L1027" s="12">
        <v>4</v>
      </c>
      <c r="M1027" s="8">
        <v>2021</v>
      </c>
      <c r="N1027" s="9">
        <v>0</v>
      </c>
      <c r="O1027" s="13">
        <v>42941</v>
      </c>
      <c r="P1027" s="13">
        <v>42941</v>
      </c>
    </row>
    <row r="1028" spans="1:16" ht="14.25">
      <c r="A1028" s="10">
        <v>2017</v>
      </c>
      <c r="B1028" s="11" t="s">
        <v>476</v>
      </c>
      <c r="C1028" s="11" t="s">
        <v>477</v>
      </c>
      <c r="D1028" s="12">
        <v>3007042</v>
      </c>
      <c r="E1028" s="12">
        <v>2</v>
      </c>
      <c r="F1028" s="12"/>
      <c r="G1028" s="12">
        <v>700</v>
      </c>
      <c r="H1028" s="12">
        <v>12.2</v>
      </c>
      <c r="I1028" s="12"/>
      <c r="J1028" s="12" t="s">
        <v>99</v>
      </c>
      <c r="K1028" s="12" t="b">
        <v>0</v>
      </c>
      <c r="L1028" s="12">
        <v>1</v>
      </c>
      <c r="M1028" s="8">
        <v>2018</v>
      </c>
      <c r="N1028" s="9">
        <v>0</v>
      </c>
      <c r="O1028" s="13">
        <v>42941</v>
      </c>
      <c r="P1028" s="13">
        <v>42941</v>
      </c>
    </row>
    <row r="1029" spans="1:16" ht="14.25">
      <c r="A1029" s="10">
        <v>2017</v>
      </c>
      <c r="B1029" s="11" t="s">
        <v>476</v>
      </c>
      <c r="C1029" s="11" t="s">
        <v>477</v>
      </c>
      <c r="D1029" s="12">
        <v>3007042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7</v>
      </c>
      <c r="M1029" s="8">
        <v>2024</v>
      </c>
      <c r="N1029" s="9">
        <v>0</v>
      </c>
      <c r="O1029" s="13">
        <v>42941</v>
      </c>
      <c r="P1029" s="13">
        <v>42941</v>
      </c>
    </row>
    <row r="1030" spans="1:16" ht="14.25">
      <c r="A1030" s="10">
        <v>2017</v>
      </c>
      <c r="B1030" s="11" t="s">
        <v>476</v>
      </c>
      <c r="C1030" s="11" t="s">
        <v>477</v>
      </c>
      <c r="D1030" s="12">
        <v>3007042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5</v>
      </c>
      <c r="M1030" s="8">
        <v>2022</v>
      </c>
      <c r="N1030" s="9">
        <v>0</v>
      </c>
      <c r="O1030" s="13">
        <v>42941</v>
      </c>
      <c r="P1030" s="13">
        <v>42941</v>
      </c>
    </row>
    <row r="1031" spans="1:16" ht="14.25">
      <c r="A1031" s="10">
        <v>2017</v>
      </c>
      <c r="B1031" s="11" t="s">
        <v>476</v>
      </c>
      <c r="C1031" s="11" t="s">
        <v>477</v>
      </c>
      <c r="D1031" s="12">
        <v>3007042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9</v>
      </c>
      <c r="M1031" s="8">
        <v>2026</v>
      </c>
      <c r="N1031" s="9">
        <v>0</v>
      </c>
      <c r="O1031" s="13">
        <v>42941</v>
      </c>
      <c r="P1031" s="13">
        <v>42941</v>
      </c>
    </row>
    <row r="1032" spans="1:16" ht="14.25">
      <c r="A1032" s="10">
        <v>2017</v>
      </c>
      <c r="B1032" s="11" t="s">
        <v>476</v>
      </c>
      <c r="C1032" s="11" t="s">
        <v>477</v>
      </c>
      <c r="D1032" s="12">
        <v>3007042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0</v>
      </c>
      <c r="M1032" s="8">
        <v>2017</v>
      </c>
      <c r="N1032" s="9">
        <v>0</v>
      </c>
      <c r="O1032" s="13">
        <v>42941</v>
      </c>
      <c r="P1032" s="13">
        <v>42941</v>
      </c>
    </row>
    <row r="1033" spans="1:16" ht="14.25">
      <c r="A1033" s="10">
        <v>2017</v>
      </c>
      <c r="B1033" s="11" t="s">
        <v>476</v>
      </c>
      <c r="C1033" s="11" t="s">
        <v>477</v>
      </c>
      <c r="D1033" s="12">
        <v>3007042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6</v>
      </c>
      <c r="M1033" s="8">
        <v>2023</v>
      </c>
      <c r="N1033" s="9">
        <v>0</v>
      </c>
      <c r="O1033" s="13">
        <v>42941</v>
      </c>
      <c r="P1033" s="13">
        <v>42941</v>
      </c>
    </row>
    <row r="1034" spans="1:16" ht="14.25">
      <c r="A1034" s="10">
        <v>2017</v>
      </c>
      <c r="B1034" s="11" t="s">
        <v>476</v>
      </c>
      <c r="C1034" s="11" t="s">
        <v>477</v>
      </c>
      <c r="D1034" s="12">
        <v>3007042</v>
      </c>
      <c r="E1034" s="12">
        <v>2</v>
      </c>
      <c r="F1034" s="12"/>
      <c r="G1034" s="12">
        <v>220</v>
      </c>
      <c r="H1034" s="12">
        <v>4.1</v>
      </c>
      <c r="I1034" s="12"/>
      <c r="J1034" s="12" t="s">
        <v>62</v>
      </c>
      <c r="K1034" s="12" t="b">
        <v>0</v>
      </c>
      <c r="L1034" s="12">
        <v>8</v>
      </c>
      <c r="M1034" s="8">
        <v>2025</v>
      </c>
      <c r="N1034" s="9">
        <v>0</v>
      </c>
      <c r="O1034" s="13">
        <v>42941</v>
      </c>
      <c r="P1034" s="13">
        <v>42941</v>
      </c>
    </row>
    <row r="1035" spans="1:16" ht="14.25">
      <c r="A1035" s="10">
        <v>2017</v>
      </c>
      <c r="B1035" s="11" t="s">
        <v>476</v>
      </c>
      <c r="C1035" s="11" t="s">
        <v>477</v>
      </c>
      <c r="D1035" s="12">
        <v>3007042</v>
      </c>
      <c r="E1035" s="12">
        <v>2</v>
      </c>
      <c r="F1035" s="12"/>
      <c r="G1035" s="12">
        <v>220</v>
      </c>
      <c r="H1035" s="12">
        <v>4.1</v>
      </c>
      <c r="I1035" s="12"/>
      <c r="J1035" s="12" t="s">
        <v>62</v>
      </c>
      <c r="K1035" s="12" t="b">
        <v>0</v>
      </c>
      <c r="L1035" s="12">
        <v>9</v>
      </c>
      <c r="M1035" s="8">
        <v>2026</v>
      </c>
      <c r="N1035" s="9">
        <v>0</v>
      </c>
      <c r="O1035" s="13">
        <v>42941</v>
      </c>
      <c r="P1035" s="13">
        <v>42941</v>
      </c>
    </row>
    <row r="1036" spans="1:16" ht="14.25">
      <c r="A1036" s="10">
        <v>2017</v>
      </c>
      <c r="B1036" s="11" t="s">
        <v>476</v>
      </c>
      <c r="C1036" s="11" t="s">
        <v>477</v>
      </c>
      <c r="D1036" s="12">
        <v>3007042</v>
      </c>
      <c r="E1036" s="12">
        <v>2</v>
      </c>
      <c r="F1036" s="12"/>
      <c r="G1036" s="12">
        <v>220</v>
      </c>
      <c r="H1036" s="12">
        <v>4.1</v>
      </c>
      <c r="I1036" s="12"/>
      <c r="J1036" s="12" t="s">
        <v>62</v>
      </c>
      <c r="K1036" s="12" t="b">
        <v>0</v>
      </c>
      <c r="L1036" s="12">
        <v>1</v>
      </c>
      <c r="M1036" s="8">
        <v>2018</v>
      </c>
      <c r="N1036" s="9">
        <v>0</v>
      </c>
      <c r="O1036" s="13">
        <v>42941</v>
      </c>
      <c r="P1036" s="13">
        <v>42941</v>
      </c>
    </row>
    <row r="1037" spans="1:16" ht="14.25">
      <c r="A1037" s="10">
        <v>2017</v>
      </c>
      <c r="B1037" s="11" t="s">
        <v>476</v>
      </c>
      <c r="C1037" s="11" t="s">
        <v>477</v>
      </c>
      <c r="D1037" s="12">
        <v>3007042</v>
      </c>
      <c r="E1037" s="12">
        <v>2</v>
      </c>
      <c r="F1037" s="12"/>
      <c r="G1037" s="12">
        <v>220</v>
      </c>
      <c r="H1037" s="12">
        <v>4.1</v>
      </c>
      <c r="I1037" s="12"/>
      <c r="J1037" s="12" t="s">
        <v>62</v>
      </c>
      <c r="K1037" s="12" t="b">
        <v>0</v>
      </c>
      <c r="L1037" s="12">
        <v>6</v>
      </c>
      <c r="M1037" s="8">
        <v>2023</v>
      </c>
      <c r="N1037" s="9">
        <v>0</v>
      </c>
      <c r="O1037" s="13">
        <v>42941</v>
      </c>
      <c r="P1037" s="13">
        <v>42941</v>
      </c>
    </row>
    <row r="1038" spans="1:16" ht="14.25">
      <c r="A1038" s="10">
        <v>2017</v>
      </c>
      <c r="B1038" s="11" t="s">
        <v>476</v>
      </c>
      <c r="C1038" s="11" t="s">
        <v>477</v>
      </c>
      <c r="D1038" s="12">
        <v>3007042</v>
      </c>
      <c r="E1038" s="12">
        <v>2</v>
      </c>
      <c r="F1038" s="12"/>
      <c r="G1038" s="12">
        <v>220</v>
      </c>
      <c r="H1038" s="12">
        <v>4.1</v>
      </c>
      <c r="I1038" s="12"/>
      <c r="J1038" s="12" t="s">
        <v>62</v>
      </c>
      <c r="K1038" s="12" t="b">
        <v>0</v>
      </c>
      <c r="L1038" s="12">
        <v>2</v>
      </c>
      <c r="M1038" s="8">
        <v>2019</v>
      </c>
      <c r="N1038" s="9">
        <v>0</v>
      </c>
      <c r="O1038" s="13">
        <v>42941</v>
      </c>
      <c r="P1038" s="13">
        <v>42941</v>
      </c>
    </row>
    <row r="1039" spans="1:16" ht="14.25">
      <c r="A1039" s="10">
        <v>2017</v>
      </c>
      <c r="B1039" s="11" t="s">
        <v>476</v>
      </c>
      <c r="C1039" s="11" t="s">
        <v>477</v>
      </c>
      <c r="D1039" s="12">
        <v>3007042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4</v>
      </c>
      <c r="M1039" s="8">
        <v>2021</v>
      </c>
      <c r="N1039" s="9">
        <v>0</v>
      </c>
      <c r="O1039" s="13">
        <v>42941</v>
      </c>
      <c r="P1039" s="13">
        <v>42941</v>
      </c>
    </row>
    <row r="1040" spans="1:16" ht="14.25">
      <c r="A1040" s="10">
        <v>2017</v>
      </c>
      <c r="B1040" s="11" t="s">
        <v>476</v>
      </c>
      <c r="C1040" s="11" t="s">
        <v>477</v>
      </c>
      <c r="D1040" s="12">
        <v>3007042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0</v>
      </c>
      <c r="M1040" s="8">
        <v>2017</v>
      </c>
      <c r="N1040" s="9">
        <v>950000</v>
      </c>
      <c r="O1040" s="13">
        <v>42941</v>
      </c>
      <c r="P1040" s="13">
        <v>42941</v>
      </c>
    </row>
    <row r="1041" spans="1:16" ht="14.25">
      <c r="A1041" s="10">
        <v>2017</v>
      </c>
      <c r="B1041" s="11" t="s">
        <v>476</v>
      </c>
      <c r="C1041" s="11" t="s">
        <v>477</v>
      </c>
      <c r="D1041" s="12">
        <v>3007042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3</v>
      </c>
      <c r="M1041" s="8">
        <v>2020</v>
      </c>
      <c r="N1041" s="9">
        <v>0</v>
      </c>
      <c r="O1041" s="13">
        <v>42941</v>
      </c>
      <c r="P1041" s="13">
        <v>42941</v>
      </c>
    </row>
    <row r="1042" spans="1:16" ht="14.25">
      <c r="A1042" s="10">
        <v>2017</v>
      </c>
      <c r="B1042" s="11" t="s">
        <v>476</v>
      </c>
      <c r="C1042" s="11" t="s">
        <v>477</v>
      </c>
      <c r="D1042" s="12">
        <v>3007042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7</v>
      </c>
      <c r="M1042" s="8">
        <v>2024</v>
      </c>
      <c r="N1042" s="9">
        <v>0</v>
      </c>
      <c r="O1042" s="13">
        <v>42941</v>
      </c>
      <c r="P1042" s="13">
        <v>42941</v>
      </c>
    </row>
    <row r="1043" spans="1:16" ht="14.25">
      <c r="A1043" s="10">
        <v>2017</v>
      </c>
      <c r="B1043" s="11" t="s">
        <v>476</v>
      </c>
      <c r="C1043" s="11" t="s">
        <v>477</v>
      </c>
      <c r="D1043" s="12">
        <v>3007042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5</v>
      </c>
      <c r="M1043" s="8">
        <v>2022</v>
      </c>
      <c r="N1043" s="9">
        <v>0</v>
      </c>
      <c r="O1043" s="13">
        <v>42941</v>
      </c>
      <c r="P1043" s="13">
        <v>42941</v>
      </c>
    </row>
    <row r="1044" spans="1:16" ht="14.25">
      <c r="A1044" s="10">
        <v>2017</v>
      </c>
      <c r="B1044" s="11" t="s">
        <v>476</v>
      </c>
      <c r="C1044" s="11" t="s">
        <v>477</v>
      </c>
      <c r="D1044" s="12">
        <v>3007042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4</v>
      </c>
      <c r="M1044" s="8">
        <v>2021</v>
      </c>
      <c r="N1044" s="9">
        <v>0</v>
      </c>
      <c r="O1044" s="13">
        <v>42941</v>
      </c>
      <c r="P1044" s="13">
        <v>42941</v>
      </c>
    </row>
    <row r="1045" spans="1:16" ht="14.25">
      <c r="A1045" s="10">
        <v>2017</v>
      </c>
      <c r="B1045" s="11" t="s">
        <v>476</v>
      </c>
      <c r="C1045" s="11" t="s">
        <v>477</v>
      </c>
      <c r="D1045" s="12">
        <v>3007042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2</v>
      </c>
      <c r="M1045" s="8">
        <v>2019</v>
      </c>
      <c r="N1045" s="9">
        <v>0</v>
      </c>
      <c r="O1045" s="13">
        <v>42941</v>
      </c>
      <c r="P1045" s="13">
        <v>42941</v>
      </c>
    </row>
    <row r="1046" spans="1:16" ht="14.25">
      <c r="A1046" s="10">
        <v>2017</v>
      </c>
      <c r="B1046" s="11" t="s">
        <v>476</v>
      </c>
      <c r="C1046" s="11" t="s">
        <v>477</v>
      </c>
      <c r="D1046" s="12">
        <v>3007042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6</v>
      </c>
      <c r="M1046" s="8">
        <v>2023</v>
      </c>
      <c r="N1046" s="9">
        <v>0</v>
      </c>
      <c r="O1046" s="13">
        <v>42941</v>
      </c>
      <c r="P1046" s="13">
        <v>42941</v>
      </c>
    </row>
    <row r="1047" spans="1:16" ht="14.25">
      <c r="A1047" s="10">
        <v>2017</v>
      </c>
      <c r="B1047" s="11" t="s">
        <v>476</v>
      </c>
      <c r="C1047" s="11" t="s">
        <v>477</v>
      </c>
      <c r="D1047" s="12">
        <v>3007042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8</v>
      </c>
      <c r="M1047" s="8">
        <v>2025</v>
      </c>
      <c r="N1047" s="9">
        <v>0</v>
      </c>
      <c r="O1047" s="13">
        <v>42941</v>
      </c>
      <c r="P1047" s="13">
        <v>42941</v>
      </c>
    </row>
    <row r="1048" spans="1:16" ht="14.25">
      <c r="A1048" s="10">
        <v>2017</v>
      </c>
      <c r="B1048" s="11" t="s">
        <v>476</v>
      </c>
      <c r="C1048" s="11" t="s">
        <v>477</v>
      </c>
      <c r="D1048" s="12">
        <v>3007042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1</v>
      </c>
      <c r="M1048" s="8">
        <v>2018</v>
      </c>
      <c r="N1048" s="9">
        <v>0</v>
      </c>
      <c r="O1048" s="13">
        <v>42941</v>
      </c>
      <c r="P1048" s="13">
        <v>42941</v>
      </c>
    </row>
    <row r="1049" spans="1:16" ht="14.25">
      <c r="A1049" s="10">
        <v>2017</v>
      </c>
      <c r="B1049" s="11" t="s">
        <v>476</v>
      </c>
      <c r="C1049" s="11" t="s">
        <v>477</v>
      </c>
      <c r="D1049" s="12">
        <v>3007042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3</v>
      </c>
      <c r="M1049" s="8">
        <v>2020</v>
      </c>
      <c r="N1049" s="9">
        <v>0</v>
      </c>
      <c r="O1049" s="13">
        <v>42941</v>
      </c>
      <c r="P1049" s="13">
        <v>42941</v>
      </c>
    </row>
    <row r="1050" spans="1:16" ht="14.25">
      <c r="A1050" s="10">
        <v>2017</v>
      </c>
      <c r="B1050" s="11" t="s">
        <v>476</v>
      </c>
      <c r="C1050" s="11" t="s">
        <v>477</v>
      </c>
      <c r="D1050" s="12">
        <v>3007042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0</v>
      </c>
      <c r="M1050" s="8">
        <v>2017</v>
      </c>
      <c r="N1050" s="9">
        <v>0</v>
      </c>
      <c r="O1050" s="13">
        <v>42941</v>
      </c>
      <c r="P1050" s="13">
        <v>42941</v>
      </c>
    </row>
    <row r="1051" spans="1:16" ht="14.25">
      <c r="A1051" s="10">
        <v>2017</v>
      </c>
      <c r="B1051" s="11" t="s">
        <v>476</v>
      </c>
      <c r="C1051" s="11" t="s">
        <v>477</v>
      </c>
      <c r="D1051" s="12">
        <v>3007042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9</v>
      </c>
      <c r="M1051" s="8">
        <v>2026</v>
      </c>
      <c r="N1051" s="9">
        <v>0</v>
      </c>
      <c r="O1051" s="13">
        <v>42941</v>
      </c>
      <c r="P1051" s="13">
        <v>42941</v>
      </c>
    </row>
    <row r="1052" spans="1:16" ht="14.25">
      <c r="A1052" s="10">
        <v>2017</v>
      </c>
      <c r="B1052" s="11" t="s">
        <v>476</v>
      </c>
      <c r="C1052" s="11" t="s">
        <v>477</v>
      </c>
      <c r="D1052" s="12">
        <v>3007042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5</v>
      </c>
      <c r="M1052" s="8">
        <v>2022</v>
      </c>
      <c r="N1052" s="9">
        <v>0</v>
      </c>
      <c r="O1052" s="13">
        <v>42941</v>
      </c>
      <c r="P1052" s="13">
        <v>42941</v>
      </c>
    </row>
    <row r="1053" spans="1:16" ht="14.25">
      <c r="A1053" s="10">
        <v>2017</v>
      </c>
      <c r="B1053" s="11" t="s">
        <v>476</v>
      </c>
      <c r="C1053" s="11" t="s">
        <v>477</v>
      </c>
      <c r="D1053" s="12">
        <v>3007042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7</v>
      </c>
      <c r="M1053" s="8">
        <v>2024</v>
      </c>
      <c r="N1053" s="9">
        <v>0</v>
      </c>
      <c r="O1053" s="13">
        <v>42941</v>
      </c>
      <c r="P1053" s="13">
        <v>42941</v>
      </c>
    </row>
    <row r="1054" spans="1:16" ht="14.25">
      <c r="A1054" s="10">
        <v>2017</v>
      </c>
      <c r="B1054" s="11" t="s">
        <v>476</v>
      </c>
      <c r="C1054" s="11" t="s">
        <v>477</v>
      </c>
      <c r="D1054" s="12">
        <v>3007042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8</v>
      </c>
      <c r="M1054" s="8">
        <v>2025</v>
      </c>
      <c r="N1054" s="9">
        <v>0</v>
      </c>
      <c r="O1054" s="13">
        <v>42941</v>
      </c>
      <c r="P1054" s="13">
        <v>42941</v>
      </c>
    </row>
    <row r="1055" spans="1:16" ht="14.25">
      <c r="A1055" s="10">
        <v>2017</v>
      </c>
      <c r="B1055" s="11" t="s">
        <v>476</v>
      </c>
      <c r="C1055" s="11" t="s">
        <v>477</v>
      </c>
      <c r="D1055" s="12">
        <v>3007042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6</v>
      </c>
      <c r="M1055" s="8">
        <v>2023</v>
      </c>
      <c r="N1055" s="9">
        <v>0</v>
      </c>
      <c r="O1055" s="13">
        <v>42941</v>
      </c>
      <c r="P1055" s="13">
        <v>42941</v>
      </c>
    </row>
    <row r="1056" spans="1:16" ht="14.25">
      <c r="A1056" s="10">
        <v>2017</v>
      </c>
      <c r="B1056" s="11" t="s">
        <v>476</v>
      </c>
      <c r="C1056" s="11" t="s">
        <v>477</v>
      </c>
      <c r="D1056" s="12">
        <v>3007042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9</v>
      </c>
      <c r="M1056" s="8">
        <v>2026</v>
      </c>
      <c r="N1056" s="9">
        <v>0</v>
      </c>
      <c r="O1056" s="13">
        <v>42941</v>
      </c>
      <c r="P1056" s="13">
        <v>42941</v>
      </c>
    </row>
    <row r="1057" spans="1:16" ht="14.25">
      <c r="A1057" s="10">
        <v>2017</v>
      </c>
      <c r="B1057" s="11" t="s">
        <v>476</v>
      </c>
      <c r="C1057" s="11" t="s">
        <v>477</v>
      </c>
      <c r="D1057" s="12">
        <v>3007042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4</v>
      </c>
      <c r="M1057" s="8">
        <v>2021</v>
      </c>
      <c r="N1057" s="9">
        <v>0</v>
      </c>
      <c r="O1057" s="13">
        <v>42941</v>
      </c>
      <c r="P1057" s="13">
        <v>42941</v>
      </c>
    </row>
    <row r="1058" spans="1:16" ht="14.25">
      <c r="A1058" s="10">
        <v>2017</v>
      </c>
      <c r="B1058" s="11" t="s">
        <v>476</v>
      </c>
      <c r="C1058" s="11" t="s">
        <v>477</v>
      </c>
      <c r="D1058" s="12">
        <v>3007042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2</v>
      </c>
      <c r="M1058" s="8">
        <v>2019</v>
      </c>
      <c r="N1058" s="9">
        <v>0</v>
      </c>
      <c r="O1058" s="13">
        <v>42941</v>
      </c>
      <c r="P1058" s="13">
        <v>42941</v>
      </c>
    </row>
    <row r="1059" spans="1:16" ht="14.25">
      <c r="A1059" s="10">
        <v>2017</v>
      </c>
      <c r="B1059" s="11" t="s">
        <v>476</v>
      </c>
      <c r="C1059" s="11" t="s">
        <v>477</v>
      </c>
      <c r="D1059" s="12">
        <v>3007042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0</v>
      </c>
      <c r="M1059" s="8">
        <v>2017</v>
      </c>
      <c r="N1059" s="9">
        <v>0</v>
      </c>
      <c r="O1059" s="13">
        <v>42941</v>
      </c>
      <c r="P1059" s="13">
        <v>42941</v>
      </c>
    </row>
    <row r="1060" spans="1:16" ht="14.25">
      <c r="A1060" s="10">
        <v>2017</v>
      </c>
      <c r="B1060" s="11" t="s">
        <v>476</v>
      </c>
      <c r="C1060" s="11" t="s">
        <v>477</v>
      </c>
      <c r="D1060" s="12">
        <v>3007042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3</v>
      </c>
      <c r="M1060" s="8">
        <v>2020</v>
      </c>
      <c r="N1060" s="9">
        <v>0</v>
      </c>
      <c r="O1060" s="13">
        <v>42941</v>
      </c>
      <c r="P1060" s="13">
        <v>42941</v>
      </c>
    </row>
    <row r="1061" spans="1:16" ht="14.25">
      <c r="A1061" s="10">
        <v>2017</v>
      </c>
      <c r="B1061" s="11" t="s">
        <v>476</v>
      </c>
      <c r="C1061" s="11" t="s">
        <v>477</v>
      </c>
      <c r="D1061" s="12">
        <v>3007042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1</v>
      </c>
      <c r="M1061" s="8">
        <v>2018</v>
      </c>
      <c r="N1061" s="9">
        <v>0</v>
      </c>
      <c r="O1061" s="13">
        <v>42941</v>
      </c>
      <c r="P1061" s="13">
        <v>42941</v>
      </c>
    </row>
    <row r="1062" spans="1:16" ht="14.25">
      <c r="A1062" s="10">
        <v>2017</v>
      </c>
      <c r="B1062" s="11" t="s">
        <v>476</v>
      </c>
      <c r="C1062" s="11" t="s">
        <v>477</v>
      </c>
      <c r="D1062" s="12">
        <v>3007042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7</v>
      </c>
      <c r="M1062" s="8">
        <v>2024</v>
      </c>
      <c r="N1062" s="9">
        <v>0</v>
      </c>
      <c r="O1062" s="13">
        <v>42941</v>
      </c>
      <c r="P1062" s="13">
        <v>42941</v>
      </c>
    </row>
    <row r="1063" spans="1:16" ht="14.25">
      <c r="A1063" s="10">
        <v>2017</v>
      </c>
      <c r="B1063" s="11" t="s">
        <v>476</v>
      </c>
      <c r="C1063" s="11" t="s">
        <v>477</v>
      </c>
      <c r="D1063" s="12">
        <v>3007042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5</v>
      </c>
      <c r="M1063" s="8">
        <v>2022</v>
      </c>
      <c r="N1063" s="9">
        <v>0</v>
      </c>
      <c r="O1063" s="13">
        <v>42941</v>
      </c>
      <c r="P1063" s="13">
        <v>42941</v>
      </c>
    </row>
    <row r="1064" spans="1:16" ht="14.25">
      <c r="A1064" s="10">
        <v>2017</v>
      </c>
      <c r="B1064" s="11" t="s">
        <v>476</v>
      </c>
      <c r="C1064" s="11" t="s">
        <v>477</v>
      </c>
      <c r="D1064" s="12">
        <v>3007042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4</v>
      </c>
      <c r="M1064" s="8">
        <v>2021</v>
      </c>
      <c r="N1064" s="9">
        <v>0</v>
      </c>
      <c r="O1064" s="13">
        <v>42941</v>
      </c>
      <c r="P1064" s="13">
        <v>42941</v>
      </c>
    </row>
    <row r="1065" spans="1:16" ht="14.25">
      <c r="A1065" s="10">
        <v>2017</v>
      </c>
      <c r="B1065" s="11" t="s">
        <v>476</v>
      </c>
      <c r="C1065" s="11" t="s">
        <v>477</v>
      </c>
      <c r="D1065" s="12">
        <v>3007042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6</v>
      </c>
      <c r="M1065" s="8">
        <v>2023</v>
      </c>
      <c r="N1065" s="9">
        <v>0</v>
      </c>
      <c r="O1065" s="13">
        <v>42941</v>
      </c>
      <c r="P1065" s="13">
        <v>42941</v>
      </c>
    </row>
    <row r="1066" spans="1:16" ht="14.25">
      <c r="A1066" s="10">
        <v>2017</v>
      </c>
      <c r="B1066" s="11" t="s">
        <v>476</v>
      </c>
      <c r="C1066" s="11" t="s">
        <v>477</v>
      </c>
      <c r="D1066" s="12">
        <v>3007042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5</v>
      </c>
      <c r="M1066" s="8">
        <v>2022</v>
      </c>
      <c r="N1066" s="9">
        <v>0</v>
      </c>
      <c r="O1066" s="13">
        <v>42941</v>
      </c>
      <c r="P1066" s="13">
        <v>42941</v>
      </c>
    </row>
    <row r="1067" spans="1:16" ht="14.25">
      <c r="A1067" s="10">
        <v>2017</v>
      </c>
      <c r="B1067" s="11" t="s">
        <v>476</v>
      </c>
      <c r="C1067" s="11" t="s">
        <v>477</v>
      </c>
      <c r="D1067" s="12">
        <v>3007042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0</v>
      </c>
      <c r="M1067" s="8">
        <v>2017</v>
      </c>
      <c r="N1067" s="9">
        <v>0</v>
      </c>
      <c r="O1067" s="13">
        <v>42941</v>
      </c>
      <c r="P1067" s="13">
        <v>42941</v>
      </c>
    </row>
    <row r="1068" spans="1:16" ht="14.25">
      <c r="A1068" s="10">
        <v>2017</v>
      </c>
      <c r="B1068" s="11" t="s">
        <v>476</v>
      </c>
      <c r="C1068" s="11" t="s">
        <v>477</v>
      </c>
      <c r="D1068" s="12">
        <v>3007042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9</v>
      </c>
      <c r="M1068" s="8">
        <v>2026</v>
      </c>
      <c r="N1068" s="9">
        <v>0</v>
      </c>
      <c r="O1068" s="13">
        <v>42941</v>
      </c>
      <c r="P1068" s="13">
        <v>42941</v>
      </c>
    </row>
    <row r="1069" spans="1:16" ht="14.25">
      <c r="A1069" s="10">
        <v>2017</v>
      </c>
      <c r="B1069" s="11" t="s">
        <v>476</v>
      </c>
      <c r="C1069" s="11" t="s">
        <v>477</v>
      </c>
      <c r="D1069" s="12">
        <v>3007042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1</v>
      </c>
      <c r="M1069" s="8">
        <v>2018</v>
      </c>
      <c r="N1069" s="9">
        <v>0</v>
      </c>
      <c r="O1069" s="13">
        <v>42941</v>
      </c>
      <c r="P1069" s="13">
        <v>42941</v>
      </c>
    </row>
    <row r="1070" spans="1:16" ht="14.25">
      <c r="A1070" s="10">
        <v>2017</v>
      </c>
      <c r="B1070" s="11" t="s">
        <v>476</v>
      </c>
      <c r="C1070" s="11" t="s">
        <v>477</v>
      </c>
      <c r="D1070" s="12">
        <v>3007042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8</v>
      </c>
      <c r="M1070" s="8">
        <v>2025</v>
      </c>
      <c r="N1070" s="9">
        <v>0</v>
      </c>
      <c r="O1070" s="13">
        <v>42941</v>
      </c>
      <c r="P1070" s="13">
        <v>42941</v>
      </c>
    </row>
    <row r="1071" spans="1:16" ht="14.25">
      <c r="A1071" s="10">
        <v>2017</v>
      </c>
      <c r="B1071" s="11" t="s">
        <v>476</v>
      </c>
      <c r="C1071" s="11" t="s">
        <v>477</v>
      </c>
      <c r="D1071" s="12">
        <v>3007042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2</v>
      </c>
      <c r="M1071" s="8">
        <v>2019</v>
      </c>
      <c r="N1071" s="9">
        <v>0</v>
      </c>
      <c r="O1071" s="13">
        <v>42941</v>
      </c>
      <c r="P1071" s="13">
        <v>42941</v>
      </c>
    </row>
    <row r="1072" spans="1:16" ht="14.25">
      <c r="A1072" s="10">
        <v>2017</v>
      </c>
      <c r="B1072" s="11" t="s">
        <v>476</v>
      </c>
      <c r="C1072" s="11" t="s">
        <v>477</v>
      </c>
      <c r="D1072" s="12">
        <v>3007042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3</v>
      </c>
      <c r="M1072" s="8">
        <v>2020</v>
      </c>
      <c r="N1072" s="9">
        <v>0</v>
      </c>
      <c r="O1072" s="13">
        <v>42941</v>
      </c>
      <c r="P1072" s="13">
        <v>42941</v>
      </c>
    </row>
    <row r="1073" spans="1:16" ht="14.25">
      <c r="A1073" s="10">
        <v>2017</v>
      </c>
      <c r="B1073" s="11" t="s">
        <v>476</v>
      </c>
      <c r="C1073" s="11" t="s">
        <v>477</v>
      </c>
      <c r="D1073" s="12">
        <v>3007042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7</v>
      </c>
      <c r="M1073" s="8">
        <v>2024</v>
      </c>
      <c r="N1073" s="9">
        <v>0</v>
      </c>
      <c r="O1073" s="13">
        <v>42941</v>
      </c>
      <c r="P1073" s="13">
        <v>42941</v>
      </c>
    </row>
    <row r="1074" spans="1:16" ht="14.25">
      <c r="A1074" s="10">
        <v>2017</v>
      </c>
      <c r="B1074" s="11" t="s">
        <v>476</v>
      </c>
      <c r="C1074" s="11" t="s">
        <v>477</v>
      </c>
      <c r="D1074" s="12">
        <v>3007042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2</v>
      </c>
      <c r="M1074" s="8">
        <v>2019</v>
      </c>
      <c r="N1074" s="9">
        <v>0</v>
      </c>
      <c r="O1074" s="13">
        <v>42941</v>
      </c>
      <c r="P1074" s="13">
        <v>42941</v>
      </c>
    </row>
    <row r="1075" spans="1:16" ht="14.25">
      <c r="A1075" s="10">
        <v>2017</v>
      </c>
      <c r="B1075" s="11" t="s">
        <v>476</v>
      </c>
      <c r="C1075" s="11" t="s">
        <v>477</v>
      </c>
      <c r="D1075" s="12">
        <v>3007042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8</v>
      </c>
      <c r="M1075" s="8">
        <v>2025</v>
      </c>
      <c r="N1075" s="9">
        <v>0</v>
      </c>
      <c r="O1075" s="13">
        <v>42941</v>
      </c>
      <c r="P1075" s="13">
        <v>42941</v>
      </c>
    </row>
    <row r="1076" spans="1:16" ht="14.25">
      <c r="A1076" s="10">
        <v>2017</v>
      </c>
      <c r="B1076" s="11" t="s">
        <v>476</v>
      </c>
      <c r="C1076" s="11" t="s">
        <v>477</v>
      </c>
      <c r="D1076" s="12">
        <v>3007042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7</v>
      </c>
      <c r="M1076" s="8">
        <v>2024</v>
      </c>
      <c r="N1076" s="9">
        <v>0</v>
      </c>
      <c r="O1076" s="13">
        <v>42941</v>
      </c>
      <c r="P1076" s="13">
        <v>42941</v>
      </c>
    </row>
    <row r="1077" spans="1:16" ht="14.25">
      <c r="A1077" s="10">
        <v>2017</v>
      </c>
      <c r="B1077" s="11" t="s">
        <v>476</v>
      </c>
      <c r="C1077" s="11" t="s">
        <v>477</v>
      </c>
      <c r="D1077" s="12">
        <v>3007042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4</v>
      </c>
      <c r="M1077" s="8">
        <v>2021</v>
      </c>
      <c r="N1077" s="9">
        <v>0</v>
      </c>
      <c r="O1077" s="13">
        <v>42941</v>
      </c>
      <c r="P1077" s="13">
        <v>42941</v>
      </c>
    </row>
    <row r="1078" spans="1:16" ht="14.25">
      <c r="A1078" s="10">
        <v>2017</v>
      </c>
      <c r="B1078" s="11" t="s">
        <v>476</v>
      </c>
      <c r="C1078" s="11" t="s">
        <v>477</v>
      </c>
      <c r="D1078" s="12">
        <v>3007042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6</v>
      </c>
      <c r="M1078" s="8">
        <v>2023</v>
      </c>
      <c r="N1078" s="9">
        <v>0</v>
      </c>
      <c r="O1078" s="13">
        <v>42941</v>
      </c>
      <c r="P1078" s="13">
        <v>42941</v>
      </c>
    </row>
    <row r="1079" spans="1:16" ht="14.25">
      <c r="A1079" s="10">
        <v>2017</v>
      </c>
      <c r="B1079" s="11" t="s">
        <v>476</v>
      </c>
      <c r="C1079" s="11" t="s">
        <v>477</v>
      </c>
      <c r="D1079" s="12">
        <v>3007042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9</v>
      </c>
      <c r="M1079" s="8">
        <v>2026</v>
      </c>
      <c r="N1079" s="9">
        <v>0</v>
      </c>
      <c r="O1079" s="13">
        <v>42941</v>
      </c>
      <c r="P1079" s="13">
        <v>42941</v>
      </c>
    </row>
    <row r="1080" spans="1:16" ht="14.25">
      <c r="A1080" s="10">
        <v>2017</v>
      </c>
      <c r="B1080" s="11" t="s">
        <v>476</v>
      </c>
      <c r="C1080" s="11" t="s">
        <v>477</v>
      </c>
      <c r="D1080" s="12">
        <v>3007042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5</v>
      </c>
      <c r="M1080" s="8">
        <v>2022</v>
      </c>
      <c r="N1080" s="9">
        <v>0</v>
      </c>
      <c r="O1080" s="13">
        <v>42941</v>
      </c>
      <c r="P1080" s="13">
        <v>42941</v>
      </c>
    </row>
    <row r="1081" spans="1:16" ht="14.25">
      <c r="A1081" s="10">
        <v>2017</v>
      </c>
      <c r="B1081" s="11" t="s">
        <v>476</v>
      </c>
      <c r="C1081" s="11" t="s">
        <v>477</v>
      </c>
      <c r="D1081" s="12">
        <v>3007042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3</v>
      </c>
      <c r="M1081" s="8">
        <v>2020</v>
      </c>
      <c r="N1081" s="9">
        <v>0</v>
      </c>
      <c r="O1081" s="13">
        <v>42941</v>
      </c>
      <c r="P1081" s="13">
        <v>42941</v>
      </c>
    </row>
    <row r="1082" spans="1:16" ht="14.25">
      <c r="A1082" s="10">
        <v>2017</v>
      </c>
      <c r="B1082" s="11" t="s">
        <v>476</v>
      </c>
      <c r="C1082" s="11" t="s">
        <v>477</v>
      </c>
      <c r="D1082" s="12">
        <v>3007042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1</v>
      </c>
      <c r="M1082" s="8">
        <v>2018</v>
      </c>
      <c r="N1082" s="9">
        <v>0</v>
      </c>
      <c r="O1082" s="13">
        <v>42941</v>
      </c>
      <c r="P1082" s="13">
        <v>42941</v>
      </c>
    </row>
    <row r="1083" spans="1:16" ht="14.25">
      <c r="A1083" s="10">
        <v>2017</v>
      </c>
      <c r="B1083" s="11" t="s">
        <v>476</v>
      </c>
      <c r="C1083" s="11" t="s">
        <v>477</v>
      </c>
      <c r="D1083" s="12">
        <v>3007042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0</v>
      </c>
      <c r="M1083" s="8">
        <v>2017</v>
      </c>
      <c r="N1083" s="9">
        <v>200000</v>
      </c>
      <c r="O1083" s="13">
        <v>42941</v>
      </c>
      <c r="P1083" s="13">
        <v>42941</v>
      </c>
    </row>
    <row r="1084" spans="1:16" ht="14.25">
      <c r="A1084" s="10">
        <v>2017</v>
      </c>
      <c r="B1084" s="11" t="s">
        <v>476</v>
      </c>
      <c r="C1084" s="11" t="s">
        <v>477</v>
      </c>
      <c r="D1084" s="12">
        <v>3007042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0</v>
      </c>
      <c r="M1084" s="8">
        <v>2017</v>
      </c>
      <c r="N1084" s="9">
        <v>0</v>
      </c>
      <c r="O1084" s="13">
        <v>42941</v>
      </c>
      <c r="P1084" s="13">
        <v>42941</v>
      </c>
    </row>
    <row r="1085" spans="1:16" ht="14.25">
      <c r="A1085" s="10">
        <v>2017</v>
      </c>
      <c r="B1085" s="11" t="s">
        <v>476</v>
      </c>
      <c r="C1085" s="11" t="s">
        <v>477</v>
      </c>
      <c r="D1085" s="12">
        <v>3007042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1</v>
      </c>
      <c r="M1085" s="8">
        <v>2018</v>
      </c>
      <c r="N1085" s="9">
        <v>2731444</v>
      </c>
      <c r="O1085" s="13">
        <v>42941</v>
      </c>
      <c r="P1085" s="13">
        <v>42941</v>
      </c>
    </row>
    <row r="1086" spans="1:16" ht="14.25">
      <c r="A1086" s="10">
        <v>2017</v>
      </c>
      <c r="B1086" s="11" t="s">
        <v>476</v>
      </c>
      <c r="C1086" s="11" t="s">
        <v>477</v>
      </c>
      <c r="D1086" s="12">
        <v>3007042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9</v>
      </c>
      <c r="M1086" s="8">
        <v>2026</v>
      </c>
      <c r="N1086" s="9">
        <v>0</v>
      </c>
      <c r="O1086" s="13">
        <v>42941</v>
      </c>
      <c r="P1086" s="13">
        <v>42941</v>
      </c>
    </row>
    <row r="1087" spans="1:16" ht="14.25">
      <c r="A1087" s="10">
        <v>2017</v>
      </c>
      <c r="B1087" s="11" t="s">
        <v>476</v>
      </c>
      <c r="C1087" s="11" t="s">
        <v>477</v>
      </c>
      <c r="D1087" s="12">
        <v>3007042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4</v>
      </c>
      <c r="M1087" s="8">
        <v>2021</v>
      </c>
      <c r="N1087" s="9">
        <v>0</v>
      </c>
      <c r="O1087" s="13">
        <v>42941</v>
      </c>
      <c r="P1087" s="13">
        <v>42941</v>
      </c>
    </row>
    <row r="1088" spans="1:16" ht="14.25">
      <c r="A1088" s="10">
        <v>2017</v>
      </c>
      <c r="B1088" s="11" t="s">
        <v>476</v>
      </c>
      <c r="C1088" s="11" t="s">
        <v>477</v>
      </c>
      <c r="D1088" s="12">
        <v>3007042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7</v>
      </c>
      <c r="M1088" s="8">
        <v>2024</v>
      </c>
      <c r="N1088" s="9">
        <v>0</v>
      </c>
      <c r="O1088" s="13">
        <v>42941</v>
      </c>
      <c r="P1088" s="13">
        <v>42941</v>
      </c>
    </row>
    <row r="1089" spans="1:16" ht="14.25">
      <c r="A1089" s="10">
        <v>2017</v>
      </c>
      <c r="B1089" s="11" t="s">
        <v>476</v>
      </c>
      <c r="C1089" s="11" t="s">
        <v>477</v>
      </c>
      <c r="D1089" s="12">
        <v>3007042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6</v>
      </c>
      <c r="M1089" s="8">
        <v>2023</v>
      </c>
      <c r="N1089" s="9">
        <v>0</v>
      </c>
      <c r="O1089" s="13">
        <v>42941</v>
      </c>
      <c r="P1089" s="13">
        <v>42941</v>
      </c>
    </row>
    <row r="1090" spans="1:16" ht="14.25">
      <c r="A1090" s="10">
        <v>2017</v>
      </c>
      <c r="B1090" s="11" t="s">
        <v>476</v>
      </c>
      <c r="C1090" s="11" t="s">
        <v>477</v>
      </c>
      <c r="D1090" s="12">
        <v>3007042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8</v>
      </c>
      <c r="M1090" s="8">
        <v>2025</v>
      </c>
      <c r="N1090" s="9">
        <v>0</v>
      </c>
      <c r="O1090" s="13">
        <v>42941</v>
      </c>
      <c r="P1090" s="13">
        <v>42941</v>
      </c>
    </row>
    <row r="1091" spans="1:16" ht="14.25">
      <c r="A1091" s="10">
        <v>2017</v>
      </c>
      <c r="B1091" s="11" t="s">
        <v>476</v>
      </c>
      <c r="C1091" s="11" t="s">
        <v>477</v>
      </c>
      <c r="D1091" s="12">
        <v>3007042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2</v>
      </c>
      <c r="M1091" s="8">
        <v>2019</v>
      </c>
      <c r="N1091" s="9">
        <v>2416023</v>
      </c>
      <c r="O1091" s="13">
        <v>42941</v>
      </c>
      <c r="P1091" s="13">
        <v>42941</v>
      </c>
    </row>
    <row r="1092" spans="1:16" ht="14.25">
      <c r="A1092" s="10">
        <v>2017</v>
      </c>
      <c r="B1092" s="11" t="s">
        <v>476</v>
      </c>
      <c r="C1092" s="11" t="s">
        <v>477</v>
      </c>
      <c r="D1092" s="12">
        <v>3007042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5</v>
      </c>
      <c r="M1092" s="8">
        <v>2022</v>
      </c>
      <c r="N1092" s="9">
        <v>0</v>
      </c>
      <c r="O1092" s="13">
        <v>42941</v>
      </c>
      <c r="P1092" s="13">
        <v>42941</v>
      </c>
    </row>
    <row r="1093" spans="1:16" ht="14.25">
      <c r="A1093" s="10">
        <v>2017</v>
      </c>
      <c r="B1093" s="11" t="s">
        <v>476</v>
      </c>
      <c r="C1093" s="11" t="s">
        <v>477</v>
      </c>
      <c r="D1093" s="12">
        <v>3007042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3</v>
      </c>
      <c r="M1093" s="8">
        <v>2020</v>
      </c>
      <c r="N1093" s="9">
        <v>0</v>
      </c>
      <c r="O1093" s="13">
        <v>42941</v>
      </c>
      <c r="P1093" s="13">
        <v>42941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2017-07-26T10:48:00Z</cp:lastPrinted>
  <dcterms:created xsi:type="dcterms:W3CDTF">2010-09-17T02:30:46Z</dcterms:created>
  <dcterms:modified xsi:type="dcterms:W3CDTF">2017-07-27T08:19:06Z</dcterms:modified>
  <cp:category/>
  <cp:version/>
  <cp:contentType/>
  <cp:contentStatus/>
</cp:coreProperties>
</file>