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85" windowHeight="595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<sst xmlns="http://schemas.openxmlformats.org/spreadsheetml/2006/main" count="192" uniqueCount="192">
  <si>
    <t>(proszę uzupełnić)</t>
  </si>
  <si>
    <t xml:space="preserve">+ / - marża banku </t>
  </si>
  <si>
    <t>Ko</t>
  </si>
  <si>
    <t>=</t>
  </si>
  <si>
    <t>Kwota kredytu w zł</t>
  </si>
  <si>
    <t xml:space="preserve">Prowizja przygotowawcza (Pp)          = </t>
  </si>
  <si>
    <t>TABELA nr 1</t>
  </si>
  <si>
    <t>Lp.</t>
  </si>
  <si>
    <t>Saldo zadłużenia z tytułu kredytu</t>
  </si>
  <si>
    <t>Koszty oprocentowania (Ko)</t>
  </si>
  <si>
    <t>Termin płatności odsetek</t>
  </si>
  <si>
    <t>WIBOR 1 M 
 + / - 
stała marża "m"</t>
  </si>
  <si>
    <t>Okres odsetkowy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</si>
  <si>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</si>
  <si>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</si>
  <si>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</si>
  <si>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</si>
  <si>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</si>
  <si>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</si>
  <si>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</si>
  <si>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</si>
  <si>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</si>
  <si>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</si>
  <si>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</si>
  <si>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</si>
  <si>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</si>
  <si>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</si>
  <si>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</si>
  <si>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</si>
  <si>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</si>
  <si>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</si>
  <si>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</si>
  <si>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</si>
  <si>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</si>
  <si>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</si>
  <si>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</si>
  <si>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</si>
  <si>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</si>
  <si>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</si>
  <si>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</si>
  <si>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</si>
  <si>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</si>
  <si>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</si>
  <si>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</si>
  <si>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</si>
  <si>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</si>
  <si>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</si>
  <si>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</si>
  <si>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</si>
  <si>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</si>
  <si>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</si>
  <si>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</si>
  <si>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</si>
  <si>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</si>
  <si>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</si>
  <si>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</si>
  <si>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</si>
  <si>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</si>
  <si>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</si>
  <si>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</si>
  <si>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</si>
  <si>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</si>
  <si>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</si>
  <si>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</si>
  <si>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</si>
  <si>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</si>
  <si>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</si>
  <si>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</si>
  <si>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</si>
  <si>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</si>
  <si>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</si>
  <si>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</si>
  <si>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</si>
  <si>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</si>
  <si>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</si>
  <si>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</si>
  <si>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</si>
  <si>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</si>
  <si>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</si>
  <si>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</si>
  <si>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</si>
  <si>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</si>
  <si>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</si>
  <si>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</si>
  <si>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</si>
  <si>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</si>
  <si>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</si>
  <si>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</si>
  <si>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</si>
  <si>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</si>
  <si>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</si>
  <si>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</si>
  <si>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</si>
  <si>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</si>
  <si>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</si>
  <si>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</si>
  <si>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</si>
  <si>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</si>
  <si>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</si>
  <si>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</si>
  <si>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</si>
  <si>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</si>
  <si>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</si>
  <si>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</si>
  <si>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</si>
  <si>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</si>
  <si>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</si>
  <si>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</si>
  <si>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</si>
  <si>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</si>
  <si>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</si>
  <si>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</si>
  <si>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</si>
  <si>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</si>
  <si>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</si>
  <si>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</si>
  <si>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</si>
  <si>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</si>
  <si>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</si>
  <si>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</si>
  <si>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</si>
  <si>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</si>
  <si>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</si>
  <si>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</si>
  <si>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</si>
  <si>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</si>
  <si>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</si>
  <si>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</si>
  <si>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</si>
  <si>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</si>
  <si>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</si>
  <si>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</si>
  <si>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</si>
  <si>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</si>
  <si>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</si>
  <si>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Razem:</t>
  </si>
  <si>
    <t xml:space="preserve">INSTRUKCJA WYPEŁNIANIA FORMULARZA </t>
  </si>
  <si>
    <t>W celu obliczenia ceny (za pomocą pliku Excela) należy wypełnić tylko komórki koloru zielonego</t>
  </si>
  <si>
    <t>W komórkach koloru żółtego wstawione są formuły, które wypełnią się automatycznie po wypełnieniu komórek koloru zielonego</t>
  </si>
  <si>
    <t>kwartalne</t>
  </si>
  <si>
    <t xml:space="preserve">Wartość zamówienia (Pp + Ko ) = </t>
  </si>
  <si>
    <t>Cenę szacunkową kredytu obliczono na podstawie  występujacych cen na rynku kredytowym.</t>
  </si>
  <si>
    <t>Termin płatności raty kapitałowej</t>
  </si>
  <si>
    <t>Kwota spłaty raty kapitałowej</t>
  </si>
  <si>
    <t>Koszty oprocentowania</t>
  </si>
  <si>
    <t>Data uruchomienia transzy (poz 1-4)/ Data naliczenia odsetek (poz 2-121)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</si>
  <si>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</si>
  <si>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</si>
  <si>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</si>
  <si>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</si>
  <si>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</si>
  <si>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</si>
  <si>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</si>
  <si>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</si>
  <si>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</si>
  <si>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</si>
  <si>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</si>
  <si>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</si>
  <si>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</si>
  <si>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</si>
  <si>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</si>
  <si>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</si>
  <si>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</si>
  <si>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</si>
  <si>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</si>
  <si>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</si>
  <si>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</si>
  <si>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</si>
  <si>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</si>
  <si>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</si>
  <si>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</si>
  <si>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</si>
  <si>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</si>
  <si>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</si>
  <si>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</si>
  <si>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</si>
  <si>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</si>
  <si>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</si>
  <si>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</si>
  <si>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</si>
  <si>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</si>
  <si>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</si>
  <si>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Kredyt dlugoterminowy na zadania inwestycyjne realizowane w 2019 r.</t>
  </si>
  <si>
    <t xml:space="preserve"> GMINA GODZIESZE WIELKIE, UL. 11 LISTOPADA 10, 62- 872 GODZIESZE MAŁE</t>
  </si>
  <si>
    <t>Nazwa i siedziba Wykonawcy</t>
  </si>
  <si>
    <t>……………………………………</t>
  </si>
  <si>
    <t xml:space="preserve">Obliczenia dokonał: </t>
  </si>
  <si>
    <t>………………..., dnia …………..2019 r.</t>
  </si>
  <si>
    <t>Numer sprawy: IK.U.271.12.2019</t>
  </si>
  <si>
    <t>Załącznik nr 2.1 do formularza oferty</t>
  </si>
  <si>
    <t xml:space="preserve">Do obliczenia kosztów oprocentowania (Ko)  przyjęto  stawkę WIBOR 1M  tj 1,64% wg stawki z dnia 13.09.2019r = </t>
  </si>
  <si>
    <t>Kalkulator do formularza oferty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</si>
</sst>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d\ mmmm\ yyyy"/>
    <numFmt numFmtId="168" formatCode="#,##0&quot; zł&quot;"/>
    <numFmt numFmtId="169" formatCode="#,##0.00\ [$zł-415];[Red]\-#,##0.00\ [$zł-415]"/>
    <numFmt numFmtId="170" formatCode="0.0000"/>
    <numFmt numFmtId="171" formatCode="yyyy\-mm\-dd"/>
    <numFmt numFmtId="172" formatCode="#,##0.00&quot; zł&quot;"/>
    <numFmt numFmtId="173" formatCode="mmm/yyyy"/>
    <numFmt numFmtId="174" formatCode="0.0"/>
    <numFmt numFmtId="175" formatCode="[$-415]d\ mmmm\ yyyy"/>
  </numFmts>
  <fonts count="5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 val="single"/>
      <sz val="10"/>
      <color indexed="10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0" fontId="0" fillId="33" borderId="10" xfId="45" applyNumberFormat="1" applyFont="1" applyFill="1" applyBorder="1" applyAlignment="1" applyProtection="1">
      <alignment horizontal="right"/>
      <protection/>
    </xf>
    <xf numFmtId="0" fontId="0" fillId="0" borderId="0" xfId="44" applyFont="1" applyProtection="1">
      <alignment/>
      <protection/>
    </xf>
    <xf numFmtId="0" fontId="1" fillId="0" borderId="0" xfId="44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0" xfId="44" applyFont="1" applyProtection="1">
      <alignment/>
      <protection/>
    </xf>
    <xf numFmtId="0" fontId="2" fillId="0" borderId="0" xfId="44" applyFont="1" applyAlignment="1" applyProtection="1">
      <alignment horizontal="center"/>
      <protection/>
    </xf>
    <xf numFmtId="4" fontId="2" fillId="0" borderId="0" xfId="44" applyNumberFormat="1" applyFont="1" applyProtection="1">
      <alignment/>
      <protection/>
    </xf>
    <xf numFmtId="4" fontId="1" fillId="0" borderId="0" xfId="44" applyNumberFormat="1" applyFont="1" applyProtection="1">
      <alignment/>
      <protection/>
    </xf>
    <xf numFmtId="0" fontId="3" fillId="0" borderId="0" xfId="44" applyFont="1" applyAlignment="1" applyProtection="1">
      <alignment horizontal="right"/>
      <protection/>
    </xf>
    <xf numFmtId="0" fontId="0" fillId="0" borderId="0" xfId="44" applyProtection="1">
      <alignment/>
      <protection/>
    </xf>
    <xf numFmtId="0" fontId="0" fillId="0" borderId="0" xfId="44" applyFont="1" applyAlignment="1" applyProtection="1">
      <alignment horizontal="left"/>
      <protection/>
    </xf>
    <xf numFmtId="4" fontId="0" fillId="0" borderId="0" xfId="44" applyNumberFormat="1" applyFont="1" applyProtection="1">
      <alignment/>
      <protection/>
    </xf>
    <xf numFmtId="166" fontId="4" fillId="0" borderId="0" xfId="44" applyNumberFormat="1" applyFont="1" applyAlignment="1" applyProtection="1">
      <alignment horizontal="left"/>
      <protection/>
    </xf>
    <xf numFmtId="0" fontId="6" fillId="0" borderId="0" xfId="44" applyFont="1" applyProtection="1">
      <alignment/>
      <protection/>
    </xf>
    <xf numFmtId="0" fontId="7" fillId="0" borderId="0" xfId="44" applyFont="1" applyProtection="1">
      <alignment/>
      <protection/>
    </xf>
    <xf numFmtId="0" fontId="0" fillId="0" borderId="0" xfId="44" applyFont="1" applyBorder="1" applyAlignment="1" applyProtection="1">
      <alignment horizontal="left" vertical="center" wrapText="1"/>
      <protection/>
    </xf>
    <xf numFmtId="0" fontId="0" fillId="0" borderId="0" xfId="44" applyFont="1" applyBorder="1" applyProtection="1">
      <alignment/>
      <protection/>
    </xf>
    <xf numFmtId="0" fontId="5" fillId="0" borderId="0" xfId="44" applyFont="1" applyAlignment="1" applyProtection="1">
      <alignment horizontal="center"/>
      <protection/>
    </xf>
    <xf numFmtId="0" fontId="0" fillId="0" borderId="0" xfId="44" applyFont="1" applyAlignment="1" applyProtection="1">
      <alignment horizontal="right"/>
      <protection/>
    </xf>
    <xf numFmtId="4" fontId="0" fillId="0" borderId="0" xfId="44" applyNumberFormat="1" applyFont="1" applyBorder="1" applyAlignment="1" applyProtection="1">
      <alignment horizontal="center"/>
      <protection/>
    </xf>
    <xf numFmtId="168" fontId="0" fillId="0" borderId="10" xfId="44" applyNumberFormat="1" applyFont="1" applyFill="1" applyBorder="1" applyAlignment="1" applyProtection="1">
      <alignment horizontal="right"/>
      <protection/>
    </xf>
    <xf numFmtId="0" fontId="0" fillId="0" borderId="0" xfId="44" applyFont="1" applyAlignment="1" applyProtection="1">
      <alignment horizontal="left" vertical="center"/>
      <protection/>
    </xf>
    <xf numFmtId="169" fontId="0" fillId="33" borderId="10" xfId="44" applyNumberFormat="1" applyFont="1" applyFill="1" applyBorder="1" applyAlignment="1" applyProtection="1">
      <alignment horizontal="right"/>
      <protection/>
    </xf>
    <xf numFmtId="0" fontId="0" fillId="0" borderId="0" xfId="44" applyFont="1" applyAlignment="1" applyProtection="1">
      <alignment horizontal="center"/>
      <protection/>
    </xf>
    <xf numFmtId="0" fontId="0" fillId="0" borderId="0" xfId="44" applyFont="1" applyAlignment="1" applyProtection="1">
      <alignment horizontal="right" vertical="center"/>
      <protection/>
    </xf>
    <xf numFmtId="0" fontId="8" fillId="0" borderId="0" xfId="44" applyFont="1" applyAlignment="1" applyProtection="1">
      <alignment horizontal="right"/>
      <protection/>
    </xf>
    <xf numFmtId="170" fontId="0" fillId="0" borderId="0" xfId="44" applyNumberFormat="1" applyFont="1" applyBorder="1" applyAlignment="1" applyProtection="1">
      <alignment horizontal="left"/>
      <protection/>
    </xf>
    <xf numFmtId="0" fontId="0" fillId="0" borderId="11" xfId="44" applyFont="1" applyFill="1" applyBorder="1" applyAlignment="1" applyProtection="1">
      <alignment horizontal="center" vertical="center" wrapText="1"/>
      <protection/>
    </xf>
    <xf numFmtId="0" fontId="0" fillId="0" borderId="12" xfId="44" applyFont="1" applyBorder="1" applyAlignment="1" applyProtection="1">
      <alignment horizontal="center" wrapText="1"/>
      <protection/>
    </xf>
    <xf numFmtId="0" fontId="0" fillId="0" borderId="11" xfId="44" applyFont="1" applyFill="1" applyBorder="1" applyAlignment="1" applyProtection="1">
      <alignment horizontal="center" wrapText="1"/>
      <protection/>
    </xf>
    <xf numFmtId="0" fontId="0" fillId="0" borderId="13" xfId="44" applyFont="1" applyBorder="1" applyProtection="1">
      <alignment/>
      <protection/>
    </xf>
    <xf numFmtId="0" fontId="0" fillId="34" borderId="11" xfId="44" applyFont="1" applyFill="1" applyBorder="1" applyAlignment="1" applyProtection="1">
      <alignment horizontal="center" vertical="center" wrapText="1"/>
      <protection/>
    </xf>
    <xf numFmtId="0" fontId="0" fillId="34" borderId="12" xfId="44" applyFont="1" applyFill="1" applyBorder="1" applyAlignment="1" applyProtection="1">
      <alignment horizontal="center" vertical="center" wrapText="1"/>
      <protection/>
    </xf>
    <xf numFmtId="0" fontId="0" fillId="0" borderId="14" xfId="44" applyFont="1" applyBorder="1" applyProtection="1">
      <alignment/>
      <protection/>
    </xf>
    <xf numFmtId="171" fontId="2" fillId="0" borderId="14" xfId="44" applyNumberFormat="1" applyFont="1" applyFill="1" applyBorder="1" applyAlignment="1" applyProtection="1">
      <alignment horizontal="center"/>
      <protection/>
    </xf>
    <xf numFmtId="169" fontId="2" fillId="0" borderId="14" xfId="44" applyNumberFormat="1" applyFont="1" applyFill="1" applyBorder="1" applyAlignment="1" applyProtection="1">
      <alignment horizontal="right"/>
      <protection/>
    </xf>
    <xf numFmtId="169" fontId="2" fillId="33" borderId="14" xfId="44" applyNumberFormat="1" applyFont="1" applyFill="1" applyBorder="1" applyAlignment="1" applyProtection="1">
      <alignment horizontal="right"/>
      <protection/>
    </xf>
    <xf numFmtId="4" fontId="2" fillId="0" borderId="14" xfId="44" applyNumberFormat="1" applyFont="1" applyFill="1" applyBorder="1" applyAlignment="1" applyProtection="1">
      <alignment horizontal="center"/>
      <protection/>
    </xf>
    <xf numFmtId="169" fontId="0" fillId="35" borderId="14" xfId="44" applyNumberFormat="1" applyFont="1" applyFill="1" applyBorder="1" applyAlignment="1" applyProtection="1">
      <alignment horizontal="right"/>
      <protection/>
    </xf>
    <xf numFmtId="0" fontId="0" fillId="0" borderId="15" xfId="44" applyFont="1" applyBorder="1" applyProtection="1">
      <alignment/>
      <protection/>
    </xf>
    <xf numFmtId="171" fontId="0" fillId="0" borderId="15" xfId="44" applyNumberFormat="1" applyFont="1" applyBorder="1" applyProtection="1">
      <alignment/>
      <protection/>
    </xf>
    <xf numFmtId="0" fontId="0" fillId="0" borderId="16" xfId="44" applyFont="1" applyBorder="1" applyProtection="1">
      <alignment/>
      <protection/>
    </xf>
    <xf numFmtId="169" fontId="0" fillId="0" borderId="0" xfId="44" applyNumberFormat="1" applyFo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4" fontId="0" fillId="0" borderId="15" xfId="0" applyNumberFormat="1" applyBorder="1" applyAlignment="1" applyProtection="1">
      <alignment/>
      <protection/>
    </xf>
    <xf numFmtId="14" fontId="0" fillId="0" borderId="16" xfId="0" applyNumberFormat="1" applyBorder="1" applyAlignment="1" applyProtection="1">
      <alignment/>
      <protection/>
    </xf>
    <xf numFmtId="169" fontId="2" fillId="0" borderId="17" xfId="44" applyNumberFormat="1" applyFont="1" applyFill="1" applyBorder="1" applyAlignment="1" applyProtection="1">
      <alignment horizontal="right"/>
      <protection/>
    </xf>
    <xf numFmtId="171" fontId="0" fillId="0" borderId="18" xfId="44" applyNumberFormat="1" applyFont="1" applyBorder="1" applyProtection="1">
      <alignment/>
      <protection/>
    </xf>
    <xf numFmtId="172" fontId="0" fillId="36" borderId="14" xfId="44" applyNumberFormat="1" applyFont="1" applyFill="1" applyBorder="1" applyAlignment="1" applyProtection="1">
      <alignment horizontal="center"/>
      <protection/>
    </xf>
    <xf numFmtId="169" fontId="2" fillId="33" borderId="14" xfId="44" applyNumberFormat="1" applyFont="1" applyFill="1" applyBorder="1" applyProtection="1">
      <alignment/>
      <protection/>
    </xf>
    <xf numFmtId="0" fontId="0" fillId="0" borderId="18" xfId="44" applyFont="1" applyBorder="1" applyProtection="1">
      <alignment/>
      <protection/>
    </xf>
    <xf numFmtId="3" fontId="0" fillId="0" borderId="0" xfId="44" applyNumberFormat="1" applyFont="1" applyBorder="1" applyProtection="1">
      <alignment/>
      <protection/>
    </xf>
    <xf numFmtId="0" fontId="5" fillId="0" borderId="0" xfId="44" applyFont="1" applyProtection="1">
      <alignment/>
      <protection/>
    </xf>
    <xf numFmtId="0" fontId="9" fillId="37" borderId="19" xfId="44" applyFont="1" applyFill="1" applyBorder="1" applyAlignment="1" applyProtection="1">
      <alignment vertical="center"/>
      <protection/>
    </xf>
    <xf numFmtId="0" fontId="9" fillId="37" borderId="20" xfId="44" applyFont="1" applyFill="1" applyBorder="1" applyAlignment="1" applyProtection="1">
      <alignment vertical="center"/>
      <protection/>
    </xf>
    <xf numFmtId="3" fontId="9" fillId="37" borderId="21" xfId="44" applyNumberFormat="1" applyFont="1" applyFill="1" applyBorder="1" applyAlignment="1" applyProtection="1">
      <alignment horizontal="right" vertical="center"/>
      <protection/>
    </xf>
    <xf numFmtId="172" fontId="10" fillId="33" borderId="10" xfId="44" applyNumberFormat="1" applyFont="1" applyFill="1" applyBorder="1" applyProtection="1">
      <alignment/>
      <protection/>
    </xf>
    <xf numFmtId="3" fontId="0" fillId="0" borderId="0" xfId="44" applyNumberFormat="1" applyFont="1" applyBorder="1" applyAlignment="1" applyProtection="1">
      <alignment horizontal="left"/>
      <protection/>
    </xf>
    <xf numFmtId="0" fontId="11" fillId="0" borderId="0" xfId="44" applyFont="1" applyAlignment="1" applyProtection="1">
      <alignment horizontal="left"/>
      <protection/>
    </xf>
    <xf numFmtId="0" fontId="5" fillId="0" borderId="0" xfId="44" applyFont="1" applyAlignment="1" applyProtection="1">
      <alignment horizontal="left"/>
      <protection/>
    </xf>
    <xf numFmtId="10" fontId="0" fillId="35" borderId="10" xfId="45" applyNumberFormat="1" applyFont="1" applyFill="1" applyBorder="1" applyAlignment="1" applyProtection="1">
      <alignment horizontal="right"/>
      <protection locked="0"/>
    </xf>
    <xf numFmtId="10" fontId="0" fillId="0" borderId="10" xfId="45" applyNumberFormat="1" applyFont="1" applyFill="1" applyBorder="1" applyAlignment="1" applyProtection="1">
      <alignment horizontal="right"/>
      <protection/>
    </xf>
    <xf numFmtId="169" fontId="0" fillId="38" borderId="14" xfId="44" applyNumberFormat="1" applyFont="1" applyFill="1" applyBorder="1" applyAlignment="1" applyProtection="1">
      <alignment horizontal="right"/>
      <protection/>
    </xf>
    <xf numFmtId="0" fontId="0" fillId="39" borderId="0" xfId="44" applyFont="1" applyFill="1" applyProtection="1">
      <alignment/>
      <protection/>
    </xf>
    <xf numFmtId="0" fontId="0" fillId="0" borderId="11" xfId="44" applyFont="1" applyFill="1" applyBorder="1" applyAlignment="1" applyProtection="1">
      <alignment horizontal="center" vertical="center" wrapText="1"/>
      <protection/>
    </xf>
    <xf numFmtId="0" fontId="2" fillId="0" borderId="0" xfId="44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44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44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0" xfId="44" applyFont="1" applyAlignment="1" applyProtection="1">
      <alignment horizontal="center" wrapText="1"/>
      <protection/>
    </xf>
    <xf numFmtId="0" fontId="2" fillId="36" borderId="18" xfId="44" applyFont="1" applyFill="1" applyBorder="1" applyProtection="1">
      <alignment/>
      <protection/>
    </xf>
    <xf numFmtId="0" fontId="2" fillId="36" borderId="17" xfId="44" applyFont="1" applyFill="1" applyBorder="1" applyProtection="1">
      <alignment/>
      <protection/>
    </xf>
    <xf numFmtId="0" fontId="2" fillId="36" borderId="22" xfId="44" applyFont="1" applyFill="1" applyBorder="1" applyProtection="1">
      <alignment/>
      <protection/>
    </xf>
    <xf numFmtId="0" fontId="0" fillId="0" borderId="0" xfId="44" applyFont="1" applyBorder="1" applyProtection="1">
      <alignment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Percent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FF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tabSelected="1" zoomScale="90" zoomScaleNormal="90" zoomScaleSheetLayoutView="100" zoomScalePageLayoutView="0" workbookViewId="0" topLeftCell="A1">
      <selection activeCell="O111" sqref="O111"/>
    </sheetView>
  </sheetViews>
  <sheetFormatPr defaultColWidth="8.7109375" defaultRowHeight="12.75" customHeight="1"/>
  <cols>
    <col min="1" max="1" width="3.00390625" style="2" customWidth="1"/>
    <col min="2" max="2" width="4.7109375" style="2" customWidth="1"/>
    <col min="3" max="3" width="12.28125" style="24" customWidth="1"/>
    <col min="4" max="4" width="14.421875" style="2" customWidth="1"/>
    <col min="5" max="5" width="17.8515625" style="2" customWidth="1"/>
    <col min="6" max="6" width="16.28125" style="24" customWidth="1"/>
    <col min="7" max="7" width="19.28125" style="12" customWidth="1"/>
    <col min="8" max="8" width="21.28125" style="12" customWidth="1"/>
    <col min="9" max="9" width="16.421875" style="2" customWidth="1"/>
    <col min="10" max="10" width="12.7109375" style="2" customWidth="1"/>
    <col min="11" max="11" width="9.140625" style="2" customWidth="1"/>
    <col min="12" max="12" width="16.140625" style="2" customWidth="1"/>
    <col min="13" max="226" width="9.140625" style="2" customWidth="1"/>
    <col min="227" max="16384" width="8.7109375" style="10" customWidth="1"/>
  </cols>
  <sheetData>
    <row r="1" spans="3:9" ht="15.75" customHeight="1">
      <c r="C1" s="3" t="s">
        <v>188</v>
      </c>
      <c r="D1" s="4"/>
      <c r="E1" s="5"/>
      <c r="F1" s="6"/>
      <c r="G1" s="7" t="s">
        <v>189</v>
      </c>
      <c r="H1" s="8"/>
      <c r="I1" s="9"/>
    </row>
    <row r="2" spans="3:6" ht="13.5" customHeight="1">
      <c r="C2" s="4" t="s">
        <v>185</v>
      </c>
      <c r="D2" s="4"/>
      <c r="F2" s="11"/>
    </row>
    <row r="3" spans="3:6" ht="13.5" customHeight="1">
      <c r="C3" s="71" t="s">
        <v>184</v>
      </c>
      <c r="D3" s="71"/>
      <c r="F3" s="11"/>
    </row>
    <row r="4" spans="3:8" ht="37.5" customHeight="1">
      <c r="C4" s="13"/>
      <c r="E4" s="69" t="s">
        <v>191</v>
      </c>
      <c r="F4" s="70"/>
      <c r="G4" s="70"/>
      <c r="H4" s="70"/>
    </row>
    <row r="5" spans="3:10" ht="18" customHeight="1">
      <c r="C5" s="74" t="s">
        <v>183</v>
      </c>
      <c r="D5" s="74"/>
      <c r="E5" s="74"/>
      <c r="F5" s="74"/>
      <c r="G5" s="74"/>
      <c r="H5" s="74"/>
      <c r="J5" s="14"/>
    </row>
    <row r="6" spans="1:8" ht="12.75" customHeight="1">
      <c r="A6" s="15"/>
      <c r="B6" s="15"/>
      <c r="C6" s="74"/>
      <c r="D6" s="74"/>
      <c r="E6" s="74"/>
      <c r="F6" s="74"/>
      <c r="G6" s="74"/>
      <c r="H6" s="74"/>
    </row>
    <row r="7" spans="3:8" ht="12.75" customHeight="1">
      <c r="C7" s="74"/>
      <c r="D7" s="74"/>
      <c r="E7" s="74"/>
      <c r="F7" s="74"/>
      <c r="G7" s="74"/>
      <c r="H7" s="74"/>
    </row>
    <row r="8" spans="1:8" ht="12.75" customHeight="1">
      <c r="A8" s="15"/>
      <c r="B8" s="15"/>
      <c r="C8" s="74"/>
      <c r="D8" s="74"/>
      <c r="E8" s="74"/>
      <c r="F8" s="74"/>
      <c r="G8" s="74"/>
      <c r="H8" s="74"/>
    </row>
    <row r="9" spans="3:8" ht="27.75" customHeight="1">
      <c r="C9" s="67" t="s">
        <v>182</v>
      </c>
      <c r="D9" s="68"/>
      <c r="E9" s="68"/>
      <c r="F9" s="68"/>
      <c r="G9" s="68"/>
      <c r="H9" s="68"/>
    </row>
    <row r="10" spans="3:8" ht="12.75" customHeight="1" thickBot="1">
      <c r="C10" s="16"/>
      <c r="D10" s="16"/>
      <c r="E10" s="16"/>
      <c r="F10" s="16"/>
      <c r="G10" s="16"/>
      <c r="H10" s="16"/>
    </row>
    <row r="11" spans="2:9" ht="12.75" customHeight="1" thickBot="1">
      <c r="B11" s="78" t="s">
        <v>190</v>
      </c>
      <c r="C11" s="78"/>
      <c r="D11" s="78"/>
      <c r="E11" s="78"/>
      <c r="F11" s="78"/>
      <c r="G11" s="78"/>
      <c r="H11" s="78"/>
      <c r="I11" s="62">
        <v>0.0164</v>
      </c>
    </row>
    <row r="12" spans="3:9" ht="12.75" customHeight="1" thickBot="1">
      <c r="C12" s="2"/>
      <c r="F12" s="2"/>
      <c r="G12" s="2"/>
      <c r="H12" s="2"/>
      <c r="I12" s="18"/>
    </row>
    <row r="13" spans="3:9" ht="12.75" customHeight="1" thickBot="1">
      <c r="C13" s="2"/>
      <c r="F13" s="2"/>
      <c r="G13" s="2" t="s">
        <v>1</v>
      </c>
      <c r="H13" s="2"/>
      <c r="I13" s="62">
        <v>0</v>
      </c>
    </row>
    <row r="14" spans="3:9" ht="12.75" customHeight="1" thickBot="1">
      <c r="C14" s="2"/>
      <c r="F14" s="2"/>
      <c r="G14" s="2"/>
      <c r="H14" s="2"/>
      <c r="I14" s="18" t="s">
        <v>0</v>
      </c>
    </row>
    <row r="15" spans="3:9" ht="12.75" customHeight="1" thickBot="1">
      <c r="C15" s="2"/>
      <c r="F15" s="2"/>
      <c r="G15" s="19" t="s">
        <v>2</v>
      </c>
      <c r="H15" s="20" t="s">
        <v>3</v>
      </c>
      <c r="I15" s="1">
        <f>I11+I13</f>
        <v>0.0164</v>
      </c>
    </row>
    <row r="16" spans="3:8" ht="12.75" customHeight="1" thickBot="1">
      <c r="C16" s="11"/>
      <c r="F16" s="2"/>
      <c r="G16" s="19"/>
      <c r="H16" s="20"/>
    </row>
    <row r="17" spans="3:9" ht="12.75" customHeight="1" thickBot="1">
      <c r="C17" s="11" t="s">
        <v>4</v>
      </c>
      <c r="F17" s="2"/>
      <c r="G17" s="21">
        <v>5000000</v>
      </c>
      <c r="H17" s="20"/>
      <c r="I17" s="12"/>
    </row>
    <row r="18" spans="3:8" ht="13.5" customHeight="1" thickBot="1">
      <c r="C18" s="11"/>
      <c r="F18" s="2"/>
      <c r="G18" s="19"/>
      <c r="H18" s="2"/>
    </row>
    <row r="19" spans="3:9" ht="13.5" customHeight="1" thickBot="1">
      <c r="C19" s="22" t="s">
        <v>5</v>
      </c>
      <c r="F19" s="2"/>
      <c r="G19" s="63">
        <v>0</v>
      </c>
      <c r="H19" s="2"/>
      <c r="I19" s="23">
        <f>G17*G19</f>
        <v>0</v>
      </c>
    </row>
    <row r="20" spans="7:9" ht="12.75" customHeight="1">
      <c r="G20" s="18"/>
      <c r="H20" s="2"/>
      <c r="I20" s="25"/>
    </row>
    <row r="21" ht="21.75" customHeight="1">
      <c r="I21" s="26" t="s">
        <v>6</v>
      </c>
    </row>
    <row r="22" spans="3:6" ht="12.75" customHeight="1">
      <c r="C22" s="17"/>
      <c r="D22" s="27"/>
      <c r="F22" s="17"/>
    </row>
    <row r="23" spans="2:10" ht="40.5" customHeight="1">
      <c r="B23" s="66" t="s">
        <v>7</v>
      </c>
      <c r="C23" s="66" t="s">
        <v>142</v>
      </c>
      <c r="D23" s="66" t="s">
        <v>143</v>
      </c>
      <c r="E23" s="66" t="s">
        <v>8</v>
      </c>
      <c r="F23" s="66" t="s">
        <v>145</v>
      </c>
      <c r="G23" s="66" t="s">
        <v>9</v>
      </c>
      <c r="H23" s="66"/>
      <c r="I23" s="28" t="s">
        <v>144</v>
      </c>
      <c r="J23" s="29" t="s">
        <v>10</v>
      </c>
    </row>
    <row r="24" spans="2:10" ht="41.25" customHeight="1">
      <c r="B24" s="66"/>
      <c r="C24" s="66"/>
      <c r="D24" s="66"/>
      <c r="E24" s="66"/>
      <c r="F24" s="66"/>
      <c r="G24" s="30" t="s">
        <v>11</v>
      </c>
      <c r="H24" s="28" t="s">
        <v>12</v>
      </c>
      <c r="I24" s="28" t="s">
        <v>139</v>
      </c>
      <c r="J24" s="31"/>
    </row>
    <row r="25" spans="2:10" ht="12.75" customHeight="1">
      <c r="B25" s="32">
        <v>1</v>
      </c>
      <c r="C25" s="32">
        <f aca="true" t="shared" si="0" ref="C25:J25">B25+1</f>
        <v>2</v>
      </c>
      <c r="D25" s="32">
        <f t="shared" si="0"/>
        <v>3</v>
      </c>
      <c r="E25" s="32">
        <f t="shared" si="0"/>
        <v>4</v>
      </c>
      <c r="F25" s="32">
        <f t="shared" si="0"/>
        <v>5</v>
      </c>
      <c r="G25" s="32">
        <f t="shared" si="0"/>
        <v>6</v>
      </c>
      <c r="H25" s="32">
        <f t="shared" si="0"/>
        <v>7</v>
      </c>
      <c r="I25" s="32">
        <f t="shared" si="0"/>
        <v>8</v>
      </c>
      <c r="J25" s="33">
        <f t="shared" si="0"/>
        <v>9</v>
      </c>
    </row>
    <row r="26" spans="2:10" ht="0.75" customHeight="1">
      <c r="B26" s="34"/>
      <c r="C26" s="35"/>
      <c r="D26" s="36"/>
      <c r="E26" s="36"/>
      <c r="F26" s="35"/>
      <c r="G26" s="37"/>
      <c r="H26" s="38"/>
      <c r="I26" s="39"/>
      <c r="J26" s="40"/>
    </row>
    <row r="27" spans="2:10" ht="4.5" customHeight="1" hidden="1">
      <c r="B27" s="34"/>
      <c r="C27" s="35"/>
      <c r="D27" s="36"/>
      <c r="E27" s="36"/>
      <c r="F27" s="35"/>
      <c r="G27" s="37"/>
      <c r="H27" s="38"/>
      <c r="I27" s="39"/>
      <c r="J27" s="40"/>
    </row>
    <row r="28" spans="2:10" ht="12" customHeight="1" hidden="1">
      <c r="B28" s="34"/>
      <c r="C28" s="35"/>
      <c r="D28" s="36"/>
      <c r="E28" s="36"/>
      <c r="F28" s="35"/>
      <c r="G28" s="37"/>
      <c r="H28" s="38"/>
      <c r="I28" s="39"/>
      <c r="J28" s="41"/>
    </row>
    <row r="29" spans="2:10" ht="12" customHeight="1" hidden="1">
      <c r="B29" s="34"/>
      <c r="C29" s="35"/>
      <c r="D29" s="36"/>
      <c r="E29" s="36"/>
      <c r="F29" s="35"/>
      <c r="G29" s="37"/>
      <c r="H29" s="38"/>
      <c r="I29" s="39"/>
      <c r="J29" s="41"/>
    </row>
    <row r="30" spans="2:10" ht="12" customHeight="1" hidden="1">
      <c r="B30" s="34"/>
      <c r="C30" s="35"/>
      <c r="D30" s="36"/>
      <c r="E30" s="36"/>
      <c r="F30" s="35"/>
      <c r="G30" s="37"/>
      <c r="H30" s="38"/>
      <c r="I30" s="39"/>
      <c r="J30" s="41"/>
    </row>
    <row r="31" spans="2:10" ht="12" customHeight="1" hidden="1">
      <c r="B31" s="34"/>
      <c r="C31" s="35"/>
      <c r="D31" s="36"/>
      <c r="E31" s="36"/>
      <c r="F31" s="35"/>
      <c r="G31" s="37"/>
      <c r="H31" s="38"/>
      <c r="I31" s="39"/>
      <c r="J31" s="41"/>
    </row>
    <row r="32" spans="2:10" ht="12" customHeight="1" hidden="1">
      <c r="B32" s="34"/>
      <c r="C32" s="35"/>
      <c r="D32" s="36"/>
      <c r="E32" s="36"/>
      <c r="F32" s="35"/>
      <c r="G32" s="37"/>
      <c r="H32" s="38"/>
      <c r="I32" s="39"/>
      <c r="J32" s="41"/>
    </row>
    <row r="33" spans="2:10" ht="12" customHeight="1" hidden="1">
      <c r="B33" s="34"/>
      <c r="C33" s="35"/>
      <c r="D33" s="36"/>
      <c r="E33" s="36"/>
      <c r="F33" s="35"/>
      <c r="G33" s="37"/>
      <c r="H33" s="38"/>
      <c r="I33" s="39"/>
      <c r="J33" s="41"/>
    </row>
    <row r="34" spans="2:10" ht="12" customHeight="1" hidden="1">
      <c r="B34" s="34"/>
      <c r="C34" s="35"/>
      <c r="D34" s="36"/>
      <c r="E34" s="36"/>
      <c r="F34" s="35"/>
      <c r="G34" s="37"/>
      <c r="H34" s="38"/>
      <c r="I34" s="39"/>
      <c r="J34" s="41"/>
    </row>
    <row r="35" spans="2:10" ht="12" customHeight="1" hidden="1">
      <c r="B35" s="34"/>
      <c r="C35" s="35"/>
      <c r="D35" s="36"/>
      <c r="E35" s="36"/>
      <c r="F35" s="35"/>
      <c r="G35" s="37"/>
      <c r="H35" s="38"/>
      <c r="I35" s="39"/>
      <c r="J35" s="41"/>
    </row>
    <row r="36" spans="2:10" ht="12" customHeight="1" hidden="1">
      <c r="B36" s="34"/>
      <c r="C36" s="35"/>
      <c r="D36" s="36"/>
      <c r="E36" s="36"/>
      <c r="F36" s="35"/>
      <c r="G36" s="37"/>
      <c r="H36" s="38"/>
      <c r="I36" s="39"/>
      <c r="J36" s="41"/>
    </row>
    <row r="37" spans="2:10" ht="12" customHeight="1" hidden="1">
      <c r="B37" s="34"/>
      <c r="C37" s="35"/>
      <c r="D37" s="36"/>
      <c r="E37" s="36"/>
      <c r="F37" s="35"/>
      <c r="G37" s="37"/>
      <c r="H37" s="38"/>
      <c r="I37" s="39"/>
      <c r="J37" s="41"/>
    </row>
    <row r="38" spans="2:10" ht="12" customHeight="1" hidden="1">
      <c r="B38" s="34"/>
      <c r="C38" s="35"/>
      <c r="D38" s="36"/>
      <c r="E38" s="36"/>
      <c r="F38" s="35"/>
      <c r="G38" s="37"/>
      <c r="H38" s="38"/>
      <c r="I38" s="39"/>
      <c r="J38" s="41"/>
    </row>
    <row r="39" spans="2:10" ht="12" customHeight="1" hidden="1">
      <c r="B39" s="34"/>
      <c r="C39" s="35"/>
      <c r="D39" s="36"/>
      <c r="E39" s="36"/>
      <c r="F39" s="35"/>
      <c r="G39" s="37"/>
      <c r="H39" s="38"/>
      <c r="I39" s="39"/>
      <c r="J39" s="41"/>
    </row>
    <row r="40" spans="2:10" ht="12" customHeight="1" hidden="1">
      <c r="B40" s="34"/>
      <c r="C40" s="35"/>
      <c r="D40" s="36"/>
      <c r="E40" s="36"/>
      <c r="F40" s="35"/>
      <c r="G40" s="37"/>
      <c r="H40" s="38"/>
      <c r="I40" s="39"/>
      <c r="J40" s="41"/>
    </row>
    <row r="41" spans="2:10" ht="12" customHeight="1" hidden="1">
      <c r="B41" s="34"/>
      <c r="C41" s="35"/>
      <c r="D41" s="36"/>
      <c r="E41" s="36"/>
      <c r="F41" s="35"/>
      <c r="G41" s="37"/>
      <c r="H41" s="38"/>
      <c r="I41" s="39"/>
      <c r="J41" s="41"/>
    </row>
    <row r="42" spans="2:10" ht="12" customHeight="1" hidden="1">
      <c r="B42" s="34"/>
      <c r="C42" s="35"/>
      <c r="D42" s="36"/>
      <c r="E42" s="36"/>
      <c r="F42" s="35"/>
      <c r="G42" s="37"/>
      <c r="H42" s="38"/>
      <c r="I42" s="39"/>
      <c r="J42" s="41"/>
    </row>
    <row r="43" spans="2:10" ht="12" customHeight="1" hidden="1">
      <c r="B43" s="34"/>
      <c r="C43" s="35"/>
      <c r="D43" s="36"/>
      <c r="E43" s="36"/>
      <c r="F43" s="35"/>
      <c r="G43" s="37"/>
      <c r="H43" s="38"/>
      <c r="I43" s="39"/>
      <c r="J43" s="41"/>
    </row>
    <row r="44" spans="2:10" ht="12" customHeight="1" hidden="1">
      <c r="B44" s="34"/>
      <c r="C44" s="35"/>
      <c r="D44" s="36"/>
      <c r="E44" s="36"/>
      <c r="F44" s="35"/>
      <c r="G44" s="37"/>
      <c r="H44" s="38"/>
      <c r="I44" s="39"/>
      <c r="J44" s="41"/>
    </row>
    <row r="45" spans="2:10" ht="12" customHeight="1" hidden="1">
      <c r="B45" s="34"/>
      <c r="C45" s="35"/>
      <c r="D45" s="36"/>
      <c r="E45" s="36"/>
      <c r="F45" s="35"/>
      <c r="G45" s="37"/>
      <c r="H45" s="38"/>
      <c r="I45" s="39"/>
      <c r="J45" s="41"/>
    </row>
    <row r="46" spans="2:10" ht="12" customHeight="1" hidden="1">
      <c r="B46" s="34"/>
      <c r="C46" s="35"/>
      <c r="D46" s="36"/>
      <c r="E46" s="36"/>
      <c r="F46" s="35"/>
      <c r="G46" s="37"/>
      <c r="H46" s="38"/>
      <c r="I46" s="39"/>
      <c r="J46" s="41"/>
    </row>
    <row r="47" spans="2:10" ht="12" customHeight="1" hidden="1">
      <c r="B47" s="34"/>
      <c r="C47" s="35"/>
      <c r="D47" s="36"/>
      <c r="E47" s="36"/>
      <c r="F47" s="35"/>
      <c r="G47" s="37"/>
      <c r="H47" s="38"/>
      <c r="I47" s="39"/>
      <c r="J47" s="41"/>
    </row>
    <row r="48" spans="2:10" ht="12" customHeight="1" hidden="1">
      <c r="B48" s="34"/>
      <c r="C48" s="35"/>
      <c r="D48" s="36"/>
      <c r="E48" s="36"/>
      <c r="F48" s="35"/>
      <c r="G48" s="37"/>
      <c r="H48" s="38"/>
      <c r="I48" s="39"/>
      <c r="J48" s="41"/>
    </row>
    <row r="49" spans="2:10" ht="12" customHeight="1" hidden="1">
      <c r="B49" s="34"/>
      <c r="C49" s="35"/>
      <c r="D49" s="36"/>
      <c r="E49" s="36"/>
      <c r="F49" s="35"/>
      <c r="G49" s="37"/>
      <c r="H49" s="38"/>
      <c r="I49" s="39"/>
      <c r="J49" s="41"/>
    </row>
    <row r="50" spans="2:10" ht="12" customHeight="1" hidden="1">
      <c r="B50" s="34"/>
      <c r="C50" s="35"/>
      <c r="D50" s="36"/>
      <c r="E50" s="36"/>
      <c r="F50" s="35"/>
      <c r="G50" s="37"/>
      <c r="H50" s="38"/>
      <c r="I50" s="39"/>
      <c r="J50" s="41"/>
    </row>
    <row r="51" spans="2:10" ht="12" customHeight="1" hidden="1">
      <c r="B51" s="34"/>
      <c r="C51" s="35"/>
      <c r="D51" s="36"/>
      <c r="E51" s="36"/>
      <c r="F51" s="35"/>
      <c r="G51" s="37"/>
      <c r="H51" s="38"/>
      <c r="I51" s="39"/>
      <c r="J51" s="41"/>
    </row>
    <row r="52" spans="2:10" ht="12" customHeight="1" hidden="1">
      <c r="B52" s="34"/>
      <c r="C52" s="35"/>
      <c r="D52" s="36"/>
      <c r="E52" s="36"/>
      <c r="F52" s="35"/>
      <c r="G52" s="37"/>
      <c r="H52" s="38"/>
      <c r="I52" s="39"/>
      <c r="J52" s="41"/>
    </row>
    <row r="53" spans="2:10" ht="12" customHeight="1" hidden="1">
      <c r="B53" s="34"/>
      <c r="C53" s="35"/>
      <c r="D53" s="36"/>
      <c r="E53" s="36"/>
      <c r="F53" s="35"/>
      <c r="G53" s="37"/>
      <c r="H53" s="38"/>
      <c r="I53" s="39"/>
      <c r="J53" s="41"/>
    </row>
    <row r="54" spans="2:10" ht="12" customHeight="1" hidden="1">
      <c r="B54" s="34"/>
      <c r="C54" s="35"/>
      <c r="D54" s="36"/>
      <c r="E54" s="36"/>
      <c r="F54" s="35"/>
      <c r="G54" s="37"/>
      <c r="H54" s="38"/>
      <c r="I54" s="39"/>
      <c r="J54" s="41"/>
    </row>
    <row r="55" spans="2:10" ht="12" customHeight="1" hidden="1">
      <c r="B55" s="34"/>
      <c r="C55" s="35"/>
      <c r="D55" s="36"/>
      <c r="E55" s="36"/>
      <c r="F55" s="35"/>
      <c r="G55" s="37"/>
      <c r="H55" s="38"/>
      <c r="I55" s="39"/>
      <c r="J55" s="41"/>
    </row>
    <row r="56" spans="2:10" ht="12" customHeight="1" hidden="1">
      <c r="B56" s="34"/>
      <c r="C56" s="35"/>
      <c r="D56" s="36"/>
      <c r="E56" s="36"/>
      <c r="F56" s="35"/>
      <c r="G56" s="37"/>
      <c r="H56" s="38"/>
      <c r="I56" s="39"/>
      <c r="J56" s="41"/>
    </row>
    <row r="57" spans="2:10" ht="12" customHeight="1" hidden="1">
      <c r="B57" s="34"/>
      <c r="C57" s="35"/>
      <c r="D57" s="36"/>
      <c r="E57" s="36"/>
      <c r="F57" s="35"/>
      <c r="G57" s="37"/>
      <c r="H57" s="38"/>
      <c r="I57" s="39"/>
      <c r="J57" s="41"/>
    </row>
    <row r="58" spans="2:10" ht="12" customHeight="1" hidden="1">
      <c r="B58" s="34"/>
      <c r="C58" s="35"/>
      <c r="D58" s="36"/>
      <c r="E58" s="36"/>
      <c r="F58" s="35"/>
      <c r="G58" s="37"/>
      <c r="H58" s="38"/>
      <c r="I58" s="39"/>
      <c r="J58" s="41"/>
    </row>
    <row r="59" spans="2:10" ht="12" customHeight="1" hidden="1">
      <c r="B59" s="34"/>
      <c r="C59" s="35"/>
      <c r="D59" s="36"/>
      <c r="E59" s="36"/>
      <c r="F59" s="35"/>
      <c r="G59" s="37"/>
      <c r="H59" s="38"/>
      <c r="I59" s="39"/>
      <c r="J59" s="41"/>
    </row>
    <row r="60" spans="2:10" ht="12" customHeight="1" hidden="1">
      <c r="B60" s="34"/>
      <c r="C60" s="35"/>
      <c r="D60" s="36"/>
      <c r="E60" s="36"/>
      <c r="F60" s="35"/>
      <c r="G60" s="37"/>
      <c r="H60" s="38"/>
      <c r="I60" s="39"/>
      <c r="J60" s="41"/>
    </row>
    <row r="61" spans="2:10" ht="12" customHeight="1" hidden="1">
      <c r="B61" s="34"/>
      <c r="C61" s="35"/>
      <c r="D61" s="36"/>
      <c r="E61" s="36"/>
      <c r="F61" s="35"/>
      <c r="G61" s="37"/>
      <c r="H61" s="38"/>
      <c r="I61" s="39"/>
      <c r="J61" s="41"/>
    </row>
    <row r="62" spans="2:10" ht="12" customHeight="1" hidden="1">
      <c r="B62" s="34"/>
      <c r="C62" s="35"/>
      <c r="D62" s="36"/>
      <c r="E62" s="36"/>
      <c r="F62" s="35"/>
      <c r="G62" s="37"/>
      <c r="H62" s="38"/>
      <c r="I62" s="39"/>
      <c r="J62" s="41"/>
    </row>
    <row r="63" spans="2:10" ht="12" customHeight="1" hidden="1">
      <c r="B63" s="34"/>
      <c r="C63" s="35"/>
      <c r="D63" s="36"/>
      <c r="E63" s="36"/>
      <c r="F63" s="35"/>
      <c r="G63" s="37"/>
      <c r="H63" s="38"/>
      <c r="I63" s="39"/>
      <c r="J63" s="41"/>
    </row>
    <row r="64" spans="2:10" ht="5.25" customHeight="1" hidden="1">
      <c r="B64" s="34"/>
      <c r="C64" s="35"/>
      <c r="D64" s="36"/>
      <c r="E64" s="36"/>
      <c r="F64" s="35"/>
      <c r="G64" s="37"/>
      <c r="H64" s="38"/>
      <c r="I64" s="39"/>
      <c r="J64" s="41"/>
    </row>
    <row r="65" spans="2:10" ht="12" customHeight="1" hidden="1">
      <c r="B65" s="34"/>
      <c r="C65" s="35"/>
      <c r="D65" s="36"/>
      <c r="E65" s="36"/>
      <c r="F65" s="35"/>
      <c r="G65" s="37"/>
      <c r="H65" s="38"/>
      <c r="I65" s="39"/>
      <c r="J65" s="41"/>
    </row>
    <row r="66" spans="2:10" ht="12" customHeight="1" hidden="1">
      <c r="B66" s="34"/>
      <c r="C66" s="35"/>
      <c r="D66" s="36"/>
      <c r="E66" s="36"/>
      <c r="F66" s="35"/>
      <c r="G66" s="37"/>
      <c r="H66" s="38"/>
      <c r="I66" s="39"/>
      <c r="J66" s="41"/>
    </row>
    <row r="67" spans="2:10" ht="12" customHeight="1" hidden="1">
      <c r="B67" s="34"/>
      <c r="C67" s="35"/>
      <c r="D67" s="36"/>
      <c r="E67" s="36"/>
      <c r="F67" s="35"/>
      <c r="G67" s="37"/>
      <c r="H67" s="38"/>
      <c r="I67" s="39"/>
      <c r="J67" s="41"/>
    </row>
    <row r="68" spans="2:10" ht="12" customHeight="1" hidden="1">
      <c r="B68" s="34"/>
      <c r="C68" s="35"/>
      <c r="D68" s="36"/>
      <c r="E68" s="36"/>
      <c r="F68" s="35"/>
      <c r="G68" s="37"/>
      <c r="H68" s="38"/>
      <c r="I68" s="39"/>
      <c r="J68" s="41"/>
    </row>
    <row r="69" spans="2:10" ht="12" customHeight="1" hidden="1">
      <c r="B69" s="34"/>
      <c r="C69" s="35"/>
      <c r="D69" s="36"/>
      <c r="E69" s="36"/>
      <c r="F69" s="35"/>
      <c r="G69" s="37"/>
      <c r="H69" s="38"/>
      <c r="I69" s="39"/>
      <c r="J69" s="41"/>
    </row>
    <row r="70" spans="2:10" ht="12" customHeight="1" hidden="1">
      <c r="B70" s="34"/>
      <c r="C70" s="35"/>
      <c r="D70" s="36"/>
      <c r="E70" s="36"/>
      <c r="F70" s="35"/>
      <c r="G70" s="37"/>
      <c r="H70" s="38"/>
      <c r="I70" s="39"/>
      <c r="J70" s="41"/>
    </row>
    <row r="71" spans="2:10" ht="12" customHeight="1" hidden="1">
      <c r="B71" s="34"/>
      <c r="C71" s="35"/>
      <c r="D71" s="36"/>
      <c r="E71" s="36"/>
      <c r="F71" s="35"/>
      <c r="G71" s="37"/>
      <c r="H71" s="38"/>
      <c r="I71" s="39"/>
      <c r="J71" s="41"/>
    </row>
    <row r="72" spans="2:10" ht="12" customHeight="1" hidden="1">
      <c r="B72" s="34"/>
      <c r="C72" s="35"/>
      <c r="D72" s="36"/>
      <c r="E72" s="36"/>
      <c r="F72" s="35"/>
      <c r="G72" s="37"/>
      <c r="H72" s="38"/>
      <c r="I72" s="39"/>
      <c r="J72" s="41"/>
    </row>
    <row r="73" spans="2:10" ht="12" customHeight="1" hidden="1">
      <c r="B73" s="34"/>
      <c r="C73" s="35"/>
      <c r="D73" s="36"/>
      <c r="E73" s="36"/>
      <c r="F73" s="35"/>
      <c r="G73" s="37"/>
      <c r="H73" s="38"/>
      <c r="I73" s="39"/>
      <c r="J73" s="41"/>
    </row>
    <row r="74" spans="2:10" ht="12" customHeight="1" hidden="1">
      <c r="B74" s="34"/>
      <c r="C74" s="35"/>
      <c r="D74" s="36"/>
      <c r="E74" s="36"/>
      <c r="F74" s="35"/>
      <c r="G74" s="37"/>
      <c r="H74" s="38"/>
      <c r="I74" s="39"/>
      <c r="J74" s="41"/>
    </row>
    <row r="75" spans="2:10" ht="12" customHeight="1" hidden="1">
      <c r="B75" s="34"/>
      <c r="C75" s="35"/>
      <c r="D75" s="36"/>
      <c r="E75" s="36"/>
      <c r="F75" s="35"/>
      <c r="G75" s="37"/>
      <c r="H75" s="38"/>
      <c r="I75" s="39"/>
      <c r="J75" s="41"/>
    </row>
    <row r="76" spans="2:10" ht="12" customHeight="1" hidden="1">
      <c r="B76" s="34"/>
      <c r="C76" s="35"/>
      <c r="D76" s="36"/>
      <c r="E76" s="36"/>
      <c r="F76" s="35"/>
      <c r="G76" s="37"/>
      <c r="H76" s="38"/>
      <c r="I76" s="39"/>
      <c r="J76" s="41"/>
    </row>
    <row r="77" spans="2:10" ht="6" customHeight="1" hidden="1">
      <c r="B77" s="34"/>
      <c r="C77" s="35"/>
      <c r="D77" s="36"/>
      <c r="E77" s="36"/>
      <c r="F77" s="35"/>
      <c r="G77" s="37"/>
      <c r="H77" s="38"/>
      <c r="I77" s="39"/>
      <c r="J77" s="41"/>
    </row>
    <row r="78" spans="2:10" ht="12" customHeight="1" hidden="1">
      <c r="B78" s="34"/>
      <c r="C78" s="35"/>
      <c r="D78" s="36"/>
      <c r="E78" s="36"/>
      <c r="F78" s="35"/>
      <c r="G78" s="37"/>
      <c r="H78" s="38"/>
      <c r="I78" s="39"/>
      <c r="J78" s="41"/>
    </row>
    <row r="79" spans="2:10" ht="12" customHeight="1" hidden="1">
      <c r="B79" s="34"/>
      <c r="C79" s="35"/>
      <c r="D79" s="36"/>
      <c r="E79" s="36"/>
      <c r="F79" s="35"/>
      <c r="G79" s="37"/>
      <c r="H79" s="38"/>
      <c r="I79" s="39"/>
      <c r="J79" s="41"/>
    </row>
    <row r="80" spans="2:10" ht="12" customHeight="1" hidden="1">
      <c r="B80" s="34"/>
      <c r="C80" s="35"/>
      <c r="D80" s="36"/>
      <c r="E80" s="36"/>
      <c r="F80" s="35"/>
      <c r="G80" s="37"/>
      <c r="H80" s="38"/>
      <c r="I80" s="39"/>
      <c r="J80" s="41"/>
    </row>
    <row r="81" spans="2:10" ht="12" customHeight="1" hidden="1">
      <c r="B81" s="34"/>
      <c r="C81" s="35"/>
      <c r="D81" s="36"/>
      <c r="E81" s="36"/>
      <c r="F81" s="35"/>
      <c r="G81" s="37"/>
      <c r="H81" s="38"/>
      <c r="I81" s="39"/>
      <c r="J81" s="41"/>
    </row>
    <row r="82" spans="2:10" ht="12" customHeight="1" hidden="1">
      <c r="B82" s="34"/>
      <c r="C82" s="35"/>
      <c r="D82" s="36"/>
      <c r="E82" s="36"/>
      <c r="F82" s="35"/>
      <c r="G82" s="37"/>
      <c r="H82" s="38"/>
      <c r="I82" s="39"/>
      <c r="J82" s="41"/>
    </row>
    <row r="83" spans="2:10" ht="12" customHeight="1" hidden="1">
      <c r="B83" s="34"/>
      <c r="C83" s="35"/>
      <c r="D83" s="36"/>
      <c r="E83" s="36"/>
      <c r="F83" s="35"/>
      <c r="G83" s="37"/>
      <c r="H83" s="38"/>
      <c r="I83" s="39"/>
      <c r="J83" s="41"/>
    </row>
    <row r="84" spans="2:10" ht="12" customHeight="1" hidden="1">
      <c r="B84" s="34"/>
      <c r="C84" s="35"/>
      <c r="D84" s="36"/>
      <c r="E84" s="36"/>
      <c r="F84" s="35"/>
      <c r="G84" s="37"/>
      <c r="H84" s="38"/>
      <c r="I84" s="39"/>
      <c r="J84" s="41"/>
    </row>
    <row r="85" spans="2:10" ht="12" customHeight="1" hidden="1">
      <c r="B85" s="34"/>
      <c r="C85" s="35"/>
      <c r="D85" s="36"/>
      <c r="E85" s="36"/>
      <c r="F85" s="35"/>
      <c r="G85" s="37"/>
      <c r="H85" s="38"/>
      <c r="I85" s="39"/>
      <c r="J85" s="41"/>
    </row>
    <row r="86" spans="2:10" ht="12" customHeight="1" hidden="1">
      <c r="B86" s="34"/>
      <c r="C86" s="35"/>
      <c r="D86" s="36"/>
      <c r="E86" s="36"/>
      <c r="F86" s="35"/>
      <c r="G86" s="37"/>
      <c r="H86" s="38"/>
      <c r="I86" s="39"/>
      <c r="J86" s="41"/>
    </row>
    <row r="87" spans="2:10" ht="12" customHeight="1" hidden="1">
      <c r="B87" s="34"/>
      <c r="C87" s="35"/>
      <c r="D87" s="36"/>
      <c r="E87" s="36"/>
      <c r="F87" s="35"/>
      <c r="G87" s="37"/>
      <c r="H87" s="38"/>
      <c r="I87" s="39"/>
      <c r="J87" s="41"/>
    </row>
    <row r="88" spans="2:10" ht="12.75" customHeight="1">
      <c r="B88" s="34" t="s">
        <v>13</v>
      </c>
      <c r="C88" s="35">
        <v>43709</v>
      </c>
      <c r="D88" s="36"/>
      <c r="E88" s="36">
        <v>0</v>
      </c>
      <c r="F88" s="35">
        <v>43709</v>
      </c>
      <c r="G88" s="37">
        <f>E87*I$15*(F88-F87)/365</f>
        <v>0</v>
      </c>
      <c r="H88" s="38" t="str">
        <f>"odsetki do 2019-09-30"</f>
        <v>odsetki do 2019-09-30</v>
      </c>
      <c r="I88" s="64">
        <f>SUM(G85:G87)</f>
        <v>0</v>
      </c>
      <c r="J88" s="42"/>
    </row>
    <row r="89" spans="2:12" ht="12" customHeight="1">
      <c r="B89" s="34" t="s">
        <v>14</v>
      </c>
      <c r="C89" s="35">
        <v>43769</v>
      </c>
      <c r="D89" s="36"/>
      <c r="E89" s="36">
        <v>0</v>
      </c>
      <c r="F89" s="35">
        <v>43739</v>
      </c>
      <c r="G89" s="37">
        <f>E88*I$15*(F89-F88)/365</f>
        <v>0</v>
      </c>
      <c r="H89" s="38" t="str">
        <f>"odsetki do 2019-10-31"</f>
        <v>odsetki do 2019-10-31</v>
      </c>
      <c r="I89" s="64"/>
      <c r="J89" s="41">
        <v>43748</v>
      </c>
      <c r="L89" s="43"/>
    </row>
    <row r="90" spans="2:12" ht="12" customHeight="1">
      <c r="B90" s="34" t="s">
        <v>15</v>
      </c>
      <c r="C90" s="35">
        <v>43799</v>
      </c>
      <c r="D90" s="36"/>
      <c r="E90" s="36">
        <v>0</v>
      </c>
      <c r="F90" s="35">
        <v>43773</v>
      </c>
      <c r="G90" s="37">
        <f>E89*I$15*(F90-F89)/365</f>
        <v>0</v>
      </c>
      <c r="H90" s="38" t="str">
        <f>"odsetki do 2019-11-30"</f>
        <v>odsetki do 2019-11-30</v>
      </c>
      <c r="I90" s="64"/>
      <c r="J90" s="41"/>
      <c r="L90" s="43"/>
    </row>
    <row r="91" spans="2:12" ht="12" customHeight="1">
      <c r="B91" s="34" t="s">
        <v>16</v>
      </c>
      <c r="C91" s="35">
        <v>43830</v>
      </c>
      <c r="D91" s="36"/>
      <c r="E91" s="36">
        <v>5000000</v>
      </c>
      <c r="F91" s="35">
        <v>43801</v>
      </c>
      <c r="G91" s="37">
        <f>E90*I$15*(F91-F90)/365</f>
        <v>0</v>
      </c>
      <c r="H91" s="38" t="str">
        <f>"odsetki do 2019-12-31"</f>
        <v>odsetki do 2019-12-31</v>
      </c>
      <c r="I91" s="64">
        <f>SUM(G89:G91)</f>
        <v>0</v>
      </c>
      <c r="J91" s="42"/>
      <c r="L91" s="43"/>
    </row>
    <row r="92" spans="2:12" ht="12" customHeight="1">
      <c r="B92" s="34" t="s">
        <v>17</v>
      </c>
      <c r="C92" s="35">
        <v>43861</v>
      </c>
      <c r="D92" s="36"/>
      <c r="E92" s="36">
        <v>5000000</v>
      </c>
      <c r="F92" s="35">
        <v>43861</v>
      </c>
      <c r="G92" s="37">
        <f>E91*I$15*(F92-F91)/365</f>
        <v>13479.452054794521</v>
      </c>
      <c r="H92" s="38" t="str">
        <f>"odsetki do 2020-01-31"</f>
        <v>odsetki do 2020-01-31</v>
      </c>
      <c r="I92" s="64"/>
      <c r="J92" s="41">
        <v>43840</v>
      </c>
      <c r="L92" s="43"/>
    </row>
    <row r="93" spans="2:12" ht="12" customHeight="1">
      <c r="B93" s="34" t="s">
        <v>18</v>
      </c>
      <c r="C93" s="35">
        <v>43890</v>
      </c>
      <c r="D93" s="36"/>
      <c r="E93" s="36">
        <v>5000000</v>
      </c>
      <c r="F93" s="35">
        <v>43890</v>
      </c>
      <c r="G93" s="37">
        <f aca="true" t="shared" si="1" ref="G93:G124">E92*I$15*(F93-F92)/365</f>
        <v>6515.068493150685</v>
      </c>
      <c r="H93" s="38" t="str">
        <f>"odsetki do 2020-02-29"</f>
        <v>odsetki do 2020-02-29</v>
      </c>
      <c r="I93" s="64"/>
      <c r="J93" s="41"/>
      <c r="L93" s="43"/>
    </row>
    <row r="94" spans="2:12" ht="12" customHeight="1">
      <c r="B94" s="34" t="s">
        <v>19</v>
      </c>
      <c r="C94" s="35">
        <v>43921</v>
      </c>
      <c r="D94" s="36"/>
      <c r="E94" s="36">
        <v>5000000</v>
      </c>
      <c r="F94" s="35">
        <v>43921</v>
      </c>
      <c r="G94" s="37">
        <f>E93*I$15*(F94-F93)/365</f>
        <v>6964.3835616438355</v>
      </c>
      <c r="H94" s="38" t="str">
        <f>"odsetki do 2020-03-31"</f>
        <v>odsetki do 2020-03-31</v>
      </c>
      <c r="I94" s="64">
        <f>SUM(G92:G94)</f>
        <v>26958.904109589042</v>
      </c>
      <c r="J94" s="42"/>
      <c r="L94" s="43"/>
    </row>
    <row r="95" spans="2:10" ht="12" customHeight="1">
      <c r="B95" s="34" t="s">
        <v>20</v>
      </c>
      <c r="C95" s="35">
        <v>43951</v>
      </c>
      <c r="D95" s="36"/>
      <c r="E95" s="36">
        <v>5000000</v>
      </c>
      <c r="F95" s="35">
        <v>43951</v>
      </c>
      <c r="G95" s="37">
        <f t="shared" si="1"/>
        <v>6739.726027397261</v>
      </c>
      <c r="H95" s="38" t="str">
        <f>"odsetki do 2020-04-30"</f>
        <v>odsetki do 2020-04-30</v>
      </c>
      <c r="I95" s="64"/>
      <c r="J95" s="41">
        <v>43931</v>
      </c>
    </row>
    <row r="96" spans="2:10" ht="12" customHeight="1">
      <c r="B96" s="34" t="s">
        <v>21</v>
      </c>
      <c r="C96" s="35">
        <v>43982</v>
      </c>
      <c r="D96" s="36"/>
      <c r="E96" s="36">
        <v>5000000</v>
      </c>
      <c r="F96" s="35">
        <v>43982</v>
      </c>
      <c r="G96" s="37">
        <f t="shared" si="1"/>
        <v>6964.3835616438355</v>
      </c>
      <c r="H96" s="38" t="str">
        <f>"odsetki do 2020-05-31"</f>
        <v>odsetki do 2020-05-31</v>
      </c>
      <c r="I96" s="64"/>
      <c r="J96" s="41"/>
    </row>
    <row r="97" spans="2:12" ht="12" customHeight="1">
      <c r="B97" s="34" t="s">
        <v>22</v>
      </c>
      <c r="C97" s="35">
        <v>44012</v>
      </c>
      <c r="D97" s="36"/>
      <c r="E97" s="36">
        <v>5000000</v>
      </c>
      <c r="F97" s="35">
        <v>44012</v>
      </c>
      <c r="G97" s="37">
        <f t="shared" si="1"/>
        <v>6739.726027397261</v>
      </c>
      <c r="H97" s="38" t="str">
        <f>"odsetki do 2020-06-30"</f>
        <v>odsetki do 2020-06-30</v>
      </c>
      <c r="I97" s="64">
        <f>SUM(G95:G97)</f>
        <v>20443.83561643836</v>
      </c>
      <c r="J97" s="42"/>
      <c r="L97" s="43"/>
    </row>
    <row r="98" spans="2:12" ht="12" customHeight="1">
      <c r="B98" s="34" t="s">
        <v>23</v>
      </c>
      <c r="C98" s="35">
        <v>44043</v>
      </c>
      <c r="D98" s="36"/>
      <c r="E98" s="36">
        <v>5000000</v>
      </c>
      <c r="F98" s="35">
        <v>44043</v>
      </c>
      <c r="G98" s="37">
        <f t="shared" si="1"/>
        <v>6964.3835616438355</v>
      </c>
      <c r="H98" s="38" t="str">
        <f>"odsetki do 2020-07-31"</f>
        <v>odsetki do 2020-07-31</v>
      </c>
      <c r="I98" s="64"/>
      <c r="J98" s="41">
        <v>44022</v>
      </c>
      <c r="L98" s="43"/>
    </row>
    <row r="99" spans="2:10" ht="12" customHeight="1">
      <c r="B99" s="34" t="s">
        <v>24</v>
      </c>
      <c r="C99" s="35">
        <v>44074</v>
      </c>
      <c r="D99" s="36"/>
      <c r="E99" s="36">
        <v>5000000</v>
      </c>
      <c r="F99" s="35">
        <v>44074</v>
      </c>
      <c r="G99" s="37">
        <f t="shared" si="1"/>
        <v>6964.3835616438355</v>
      </c>
      <c r="H99" s="38" t="str">
        <f>"odsetki do 2020-08-31"</f>
        <v>odsetki do 2020-08-31</v>
      </c>
      <c r="I99" s="64"/>
      <c r="J99" s="41"/>
    </row>
    <row r="100" spans="2:10" ht="12" customHeight="1">
      <c r="B100" s="34" t="s">
        <v>25</v>
      </c>
      <c r="C100" s="35">
        <v>44104</v>
      </c>
      <c r="D100" s="36"/>
      <c r="E100" s="36">
        <v>5000000</v>
      </c>
      <c r="F100" s="35">
        <v>44104</v>
      </c>
      <c r="G100" s="37">
        <f t="shared" si="1"/>
        <v>6739.726027397261</v>
      </c>
      <c r="H100" s="38" t="str">
        <f>"odsetki do 2020-09-30"</f>
        <v>odsetki do 2020-09-30</v>
      </c>
      <c r="I100" s="64">
        <f>SUM(G98:G100)</f>
        <v>20668.49315068493</v>
      </c>
      <c r="J100" s="42"/>
    </row>
    <row r="101" spans="2:12" ht="12" customHeight="1">
      <c r="B101" s="34" t="s">
        <v>26</v>
      </c>
      <c r="C101" s="35">
        <v>44114</v>
      </c>
      <c r="D101" s="36">
        <v>20000</v>
      </c>
      <c r="E101" s="36">
        <f>E100-D101</f>
        <v>4980000</v>
      </c>
      <c r="F101" s="35">
        <v>44135</v>
      </c>
      <c r="G101" s="37">
        <f t="shared" si="1"/>
        <v>6964.3835616438355</v>
      </c>
      <c r="H101" s="38" t="str">
        <f>"odsetki do 2020-10-31"</f>
        <v>odsetki do 2020-10-31</v>
      </c>
      <c r="I101" s="64"/>
      <c r="J101" s="41">
        <v>44114</v>
      </c>
      <c r="L101" s="43"/>
    </row>
    <row r="102" spans="2:12" ht="12" customHeight="1">
      <c r="B102" s="34" t="s">
        <v>27</v>
      </c>
      <c r="C102" s="35">
        <v>44165</v>
      </c>
      <c r="D102" s="36"/>
      <c r="E102" s="36">
        <f aca="true" t="shared" si="2" ref="E102:E115">E101-D102</f>
        <v>4980000</v>
      </c>
      <c r="F102" s="35">
        <v>44165</v>
      </c>
      <c r="G102" s="37">
        <f t="shared" si="1"/>
        <v>6712.767123287671</v>
      </c>
      <c r="H102" s="38" t="str">
        <f>"odsetki do 2020-11-30"</f>
        <v>odsetki do 2020-11-30</v>
      </c>
      <c r="I102" s="64"/>
      <c r="J102" s="41"/>
      <c r="L102" s="43"/>
    </row>
    <row r="103" spans="2:10" ht="12" customHeight="1">
      <c r="B103" s="34" t="s">
        <v>28</v>
      </c>
      <c r="C103" s="35">
        <v>44196</v>
      </c>
      <c r="D103" s="36"/>
      <c r="E103" s="36">
        <f t="shared" si="2"/>
        <v>4980000</v>
      </c>
      <c r="F103" s="35">
        <v>44196</v>
      </c>
      <c r="G103" s="37">
        <f t="shared" si="1"/>
        <v>6936.52602739726</v>
      </c>
      <c r="H103" s="38" t="str">
        <f>"odsetki do 2020-12-31"</f>
        <v>odsetki do 2020-12-31</v>
      </c>
      <c r="I103" s="64">
        <f>SUM(G101:G103)</f>
        <v>20613.676712328765</v>
      </c>
      <c r="J103" s="42"/>
    </row>
    <row r="104" spans="2:10" ht="12" customHeight="1">
      <c r="B104" s="34" t="s">
        <v>29</v>
      </c>
      <c r="C104" s="35">
        <v>44206</v>
      </c>
      <c r="D104" s="36">
        <v>20000</v>
      </c>
      <c r="E104" s="36">
        <f t="shared" si="2"/>
        <v>4960000</v>
      </c>
      <c r="F104" s="35">
        <v>44227</v>
      </c>
      <c r="G104" s="37">
        <f t="shared" si="1"/>
        <v>6936.52602739726</v>
      </c>
      <c r="H104" s="38" t="str">
        <f>"odsetki do 2021-01-31"</f>
        <v>odsetki do 2021-01-31</v>
      </c>
      <c r="I104" s="64"/>
      <c r="J104" s="41">
        <v>44206</v>
      </c>
    </row>
    <row r="105" spans="2:12" ht="12" customHeight="1">
      <c r="B105" s="34" t="s">
        <v>30</v>
      </c>
      <c r="C105" s="35">
        <v>44255</v>
      </c>
      <c r="D105" s="36"/>
      <c r="E105" s="36">
        <f t="shared" si="2"/>
        <v>4960000</v>
      </c>
      <c r="F105" s="35">
        <v>44255</v>
      </c>
      <c r="G105" s="37">
        <f t="shared" si="1"/>
        <v>6240.087671232876</v>
      </c>
      <c r="H105" s="38" t="str">
        <f>"odsetki do 2021-02-28"</f>
        <v>odsetki do 2021-02-28</v>
      </c>
      <c r="I105" s="64"/>
      <c r="J105" s="41"/>
      <c r="L105" s="43"/>
    </row>
    <row r="106" spans="2:12" ht="12" customHeight="1">
      <c r="B106" s="34" t="s">
        <v>31</v>
      </c>
      <c r="C106" s="35">
        <v>44286</v>
      </c>
      <c r="D106" s="36"/>
      <c r="E106" s="36">
        <f t="shared" si="2"/>
        <v>4960000</v>
      </c>
      <c r="F106" s="35">
        <v>44286</v>
      </c>
      <c r="G106" s="37">
        <f t="shared" si="1"/>
        <v>6908.668493150685</v>
      </c>
      <c r="H106" s="38" t="str">
        <f>"odsetki do 2021-03-31"</f>
        <v>odsetki do 2021-03-31</v>
      </c>
      <c r="I106" s="64">
        <f>SUM(G104:G106)</f>
        <v>20085.28219178082</v>
      </c>
      <c r="J106" s="42"/>
      <c r="L106" s="43"/>
    </row>
    <row r="107" spans="2:10" ht="12" customHeight="1">
      <c r="B107" s="34" t="s">
        <v>32</v>
      </c>
      <c r="C107" s="35">
        <v>44296</v>
      </c>
      <c r="D107" s="36">
        <v>20000</v>
      </c>
      <c r="E107" s="36">
        <f t="shared" si="2"/>
        <v>4940000</v>
      </c>
      <c r="F107" s="35">
        <v>44316</v>
      </c>
      <c r="G107" s="37">
        <f t="shared" si="1"/>
        <v>6685.808219178082</v>
      </c>
      <c r="H107" s="38" t="str">
        <f>"odsetki do 2021-04-30"</f>
        <v>odsetki do 2021-04-30</v>
      </c>
      <c r="I107" s="64"/>
      <c r="J107" s="41">
        <v>44296</v>
      </c>
    </row>
    <row r="108" spans="2:10" ht="12" customHeight="1">
      <c r="B108" s="34" t="s">
        <v>33</v>
      </c>
      <c r="C108" s="35">
        <v>44347</v>
      </c>
      <c r="D108" s="36"/>
      <c r="E108" s="36">
        <f t="shared" si="2"/>
        <v>4940000</v>
      </c>
      <c r="F108" s="35">
        <v>44347</v>
      </c>
      <c r="G108" s="37">
        <f t="shared" si="1"/>
        <v>6880.81095890411</v>
      </c>
      <c r="H108" s="38" t="str">
        <f>"odsetki do 2021-05-31"</f>
        <v>odsetki do 2021-05-31</v>
      </c>
      <c r="I108" s="64"/>
      <c r="J108" s="41"/>
    </row>
    <row r="109" spans="2:12" ht="12" customHeight="1">
      <c r="B109" s="34" t="s">
        <v>34</v>
      </c>
      <c r="C109" s="35">
        <v>44377</v>
      </c>
      <c r="D109" s="36"/>
      <c r="E109" s="36">
        <f t="shared" si="2"/>
        <v>4940000</v>
      </c>
      <c r="F109" s="35">
        <v>44377</v>
      </c>
      <c r="G109" s="37">
        <f t="shared" si="1"/>
        <v>6658.8493150684935</v>
      </c>
      <c r="H109" s="38" t="str">
        <f>"odsetki do 2021-06-30"</f>
        <v>odsetki do 2021-06-30</v>
      </c>
      <c r="I109" s="64">
        <f>SUM(G107:G109)</f>
        <v>20225.468493150685</v>
      </c>
      <c r="J109" s="42"/>
      <c r="L109" s="43"/>
    </row>
    <row r="110" spans="2:12" ht="12" customHeight="1">
      <c r="B110" s="34" t="s">
        <v>35</v>
      </c>
      <c r="C110" s="35">
        <v>44387</v>
      </c>
      <c r="D110" s="36">
        <v>20000</v>
      </c>
      <c r="E110" s="36">
        <f t="shared" si="2"/>
        <v>4920000</v>
      </c>
      <c r="F110" s="35">
        <v>44408</v>
      </c>
      <c r="G110" s="37">
        <f t="shared" si="1"/>
        <v>6880.81095890411</v>
      </c>
      <c r="H110" s="38" t="str">
        <f>"odsetki do 2021-07-31"</f>
        <v>odsetki do 2021-07-31</v>
      </c>
      <c r="I110" s="64"/>
      <c r="J110" s="41">
        <v>44387</v>
      </c>
      <c r="L110" s="43"/>
    </row>
    <row r="111" spans="2:10" ht="12" customHeight="1">
      <c r="B111" s="34" t="s">
        <v>36</v>
      </c>
      <c r="C111" s="35">
        <v>44439</v>
      </c>
      <c r="D111" s="36"/>
      <c r="E111" s="36">
        <f t="shared" si="2"/>
        <v>4920000</v>
      </c>
      <c r="F111" s="35">
        <v>44439</v>
      </c>
      <c r="G111" s="37">
        <f t="shared" si="1"/>
        <v>6852.953424657534</v>
      </c>
      <c r="H111" s="38" t="str">
        <f>"odsetki do 2021-08-31"</f>
        <v>odsetki do 2021-08-31</v>
      </c>
      <c r="I111" s="64"/>
      <c r="J111" s="41"/>
    </row>
    <row r="112" spans="2:10" ht="12" customHeight="1">
      <c r="B112" s="34" t="s">
        <v>37</v>
      </c>
      <c r="C112" s="35">
        <v>44469</v>
      </c>
      <c r="D112" s="36"/>
      <c r="E112" s="36">
        <f t="shared" si="2"/>
        <v>4920000</v>
      </c>
      <c r="F112" s="35">
        <v>44469</v>
      </c>
      <c r="G112" s="37">
        <f t="shared" si="1"/>
        <v>6631.890410958904</v>
      </c>
      <c r="H112" s="38" t="str">
        <f>"odsetki do 2021-09-30"</f>
        <v>odsetki do 2021-09-30</v>
      </c>
      <c r="I112" s="64">
        <f>SUM(G110:G112)</f>
        <v>20365.654794520546</v>
      </c>
      <c r="J112" s="42"/>
    </row>
    <row r="113" spans="2:12" ht="12" customHeight="1">
      <c r="B113" s="34" t="s">
        <v>38</v>
      </c>
      <c r="C113" s="35">
        <v>44479</v>
      </c>
      <c r="D113" s="36">
        <v>20000</v>
      </c>
      <c r="E113" s="36">
        <f t="shared" si="2"/>
        <v>4900000</v>
      </c>
      <c r="F113" s="35">
        <v>44500</v>
      </c>
      <c r="G113" s="37">
        <f t="shared" si="1"/>
        <v>6852.953424657534</v>
      </c>
      <c r="H113" s="38" t="str">
        <f>"odsetki do 2021-10-31"</f>
        <v>odsetki do 2021-10-31</v>
      </c>
      <c r="I113" s="64"/>
      <c r="J113" s="41">
        <v>44479</v>
      </c>
      <c r="L113" s="43"/>
    </row>
    <row r="114" spans="2:12" ht="12" customHeight="1">
      <c r="B114" s="34" t="s">
        <v>39</v>
      </c>
      <c r="C114" s="35">
        <v>44530</v>
      </c>
      <c r="D114" s="36"/>
      <c r="E114" s="36">
        <f t="shared" si="2"/>
        <v>4900000</v>
      </c>
      <c r="F114" s="35">
        <v>44530</v>
      </c>
      <c r="G114" s="37">
        <f t="shared" si="1"/>
        <v>6604.931506849315</v>
      </c>
      <c r="H114" s="38" t="str">
        <f>"odsetki do 2021-11-30"</f>
        <v>odsetki do 2021-11-30</v>
      </c>
      <c r="I114" s="64"/>
      <c r="J114" s="41"/>
      <c r="L114" s="43"/>
    </row>
    <row r="115" spans="2:12" ht="12" customHeight="1">
      <c r="B115" s="34" t="s">
        <v>40</v>
      </c>
      <c r="C115" s="35">
        <v>44561</v>
      </c>
      <c r="D115" s="36"/>
      <c r="E115" s="36">
        <f t="shared" si="2"/>
        <v>4900000</v>
      </c>
      <c r="F115" s="35">
        <v>44561</v>
      </c>
      <c r="G115" s="37">
        <f t="shared" si="1"/>
        <v>6825.095890410959</v>
      </c>
      <c r="H115" s="38" t="str">
        <f>"odsetki do 2021-12-31"</f>
        <v>odsetki do 2021-12-31</v>
      </c>
      <c r="I115" s="64">
        <f>SUM(G113:G115)</f>
        <v>20282.98082191781</v>
      </c>
      <c r="J115" s="42"/>
      <c r="L115" s="43"/>
    </row>
    <row r="116" spans="2:10" ht="12" customHeight="1">
      <c r="B116" s="34" t="s">
        <v>41</v>
      </c>
      <c r="C116" s="35">
        <v>44571</v>
      </c>
      <c r="D116" s="36">
        <v>20000</v>
      </c>
      <c r="E116" s="36">
        <f aca="true" t="shared" si="3" ref="E116:E167">E115-D116</f>
        <v>4880000</v>
      </c>
      <c r="F116" s="35">
        <v>44592</v>
      </c>
      <c r="G116" s="37">
        <f t="shared" si="1"/>
        <v>6825.095890410959</v>
      </c>
      <c r="H116" s="38" t="str">
        <f>"odsetki do 2022-01-31"</f>
        <v>odsetki do 2022-01-31</v>
      </c>
      <c r="I116" s="64"/>
      <c r="J116" s="41">
        <v>44571</v>
      </c>
    </row>
    <row r="117" spans="2:12" ht="12" customHeight="1">
      <c r="B117" s="34" t="s">
        <v>42</v>
      </c>
      <c r="C117" s="35">
        <v>44620</v>
      </c>
      <c r="D117" s="36"/>
      <c r="E117" s="36">
        <f t="shared" si="3"/>
        <v>4880000</v>
      </c>
      <c r="F117" s="35">
        <v>44620</v>
      </c>
      <c r="G117" s="37">
        <f t="shared" si="1"/>
        <v>6139.441095890411</v>
      </c>
      <c r="H117" s="38" t="str">
        <f>"odsetki do 2022-02-28"</f>
        <v>odsetki do 2022-02-28</v>
      </c>
      <c r="I117" s="64"/>
      <c r="J117" s="41"/>
      <c r="L117" s="43"/>
    </row>
    <row r="118" spans="2:12" ht="12" customHeight="1">
      <c r="B118" s="34" t="s">
        <v>43</v>
      </c>
      <c r="C118" s="35">
        <v>44651</v>
      </c>
      <c r="D118" s="36"/>
      <c r="E118" s="36">
        <f t="shared" si="3"/>
        <v>4880000</v>
      </c>
      <c r="F118" s="35">
        <v>44651</v>
      </c>
      <c r="G118" s="37">
        <f t="shared" si="1"/>
        <v>6797.238356164384</v>
      </c>
      <c r="H118" s="38" t="str">
        <f>"odsetki do 2022-03-31"</f>
        <v>odsetki do 2022-03-31</v>
      </c>
      <c r="I118" s="64">
        <f>SUM(G116:G118)</f>
        <v>19761.775342465753</v>
      </c>
      <c r="J118" s="42"/>
      <c r="L118" s="43"/>
    </row>
    <row r="119" spans="2:10" ht="12" customHeight="1">
      <c r="B119" s="34" t="s">
        <v>44</v>
      </c>
      <c r="C119" s="35">
        <v>44661</v>
      </c>
      <c r="D119" s="36">
        <v>20000</v>
      </c>
      <c r="E119" s="36">
        <f t="shared" si="3"/>
        <v>4860000</v>
      </c>
      <c r="F119" s="35">
        <v>44681</v>
      </c>
      <c r="G119" s="37">
        <f t="shared" si="1"/>
        <v>6577.972602739726</v>
      </c>
      <c r="H119" s="38" t="str">
        <f>"odsetki do 2022-04-28"</f>
        <v>odsetki do 2022-04-28</v>
      </c>
      <c r="I119" s="64"/>
      <c r="J119" s="41">
        <v>44661</v>
      </c>
    </row>
    <row r="120" spans="2:10" ht="12" customHeight="1">
      <c r="B120" s="34" t="s">
        <v>45</v>
      </c>
      <c r="C120" s="35">
        <v>44712</v>
      </c>
      <c r="D120" s="36"/>
      <c r="E120" s="36">
        <f t="shared" si="3"/>
        <v>4860000</v>
      </c>
      <c r="F120" s="35">
        <v>44712</v>
      </c>
      <c r="G120" s="37">
        <f t="shared" si="1"/>
        <v>6769.380821917808</v>
      </c>
      <c r="H120" s="38" t="str">
        <f>"odsetki do 2022-05-31"</f>
        <v>odsetki do 2022-05-31</v>
      </c>
      <c r="I120" s="64"/>
      <c r="J120" s="41"/>
    </row>
    <row r="121" spans="2:12" ht="12" customHeight="1">
      <c r="B121" s="34" t="s">
        <v>46</v>
      </c>
      <c r="C121" s="35">
        <v>44742</v>
      </c>
      <c r="D121" s="36"/>
      <c r="E121" s="36">
        <f t="shared" si="3"/>
        <v>4860000</v>
      </c>
      <c r="F121" s="35">
        <v>44742</v>
      </c>
      <c r="G121" s="37">
        <f t="shared" si="1"/>
        <v>6551.013698630137</v>
      </c>
      <c r="H121" s="38" t="str">
        <f>"odsetki do 2022-06-30"</f>
        <v>odsetki do 2022-06-30</v>
      </c>
      <c r="I121" s="64">
        <f>SUM(G119:G121)</f>
        <v>19898.367123287673</v>
      </c>
      <c r="J121" s="42"/>
      <c r="L121" s="43"/>
    </row>
    <row r="122" spans="2:12" ht="12" customHeight="1">
      <c r="B122" s="34" t="s">
        <v>47</v>
      </c>
      <c r="C122" s="35">
        <v>44752</v>
      </c>
      <c r="D122" s="36">
        <v>20000</v>
      </c>
      <c r="E122" s="36">
        <f t="shared" si="3"/>
        <v>4840000</v>
      </c>
      <c r="F122" s="35">
        <v>44773</v>
      </c>
      <c r="G122" s="37">
        <f t="shared" si="1"/>
        <v>6769.380821917808</v>
      </c>
      <c r="H122" s="38" t="str">
        <f>"odsetki do 2022-07-31"</f>
        <v>odsetki do 2022-07-31</v>
      </c>
      <c r="I122" s="64"/>
      <c r="J122" s="41">
        <v>44752</v>
      </c>
      <c r="L122" s="43"/>
    </row>
    <row r="123" spans="2:10" ht="12" customHeight="1">
      <c r="B123" s="34" t="s">
        <v>48</v>
      </c>
      <c r="C123" s="35">
        <v>44804</v>
      </c>
      <c r="D123" s="36"/>
      <c r="E123" s="36">
        <f t="shared" si="3"/>
        <v>4840000</v>
      </c>
      <c r="F123" s="35">
        <v>44804</v>
      </c>
      <c r="G123" s="37">
        <f t="shared" si="1"/>
        <v>6741.5232876712325</v>
      </c>
      <c r="H123" s="38" t="str">
        <f>"odsetki do 2022-08-31"</f>
        <v>odsetki do 2022-08-31</v>
      </c>
      <c r="I123" s="64"/>
      <c r="J123" s="41"/>
    </row>
    <row r="124" spans="2:10" ht="12" customHeight="1">
      <c r="B124" s="34" t="s">
        <v>49</v>
      </c>
      <c r="C124" s="35">
        <v>44834</v>
      </c>
      <c r="D124" s="36"/>
      <c r="E124" s="36">
        <f t="shared" si="3"/>
        <v>4840000</v>
      </c>
      <c r="F124" s="35">
        <v>44834</v>
      </c>
      <c r="G124" s="37">
        <f t="shared" si="1"/>
        <v>6524.054794520548</v>
      </c>
      <c r="H124" s="38" t="str">
        <f>"odsetki do 2022-09-30"</f>
        <v>odsetki do 2022-09-30</v>
      </c>
      <c r="I124" s="64">
        <f>SUM(G122:G124)</f>
        <v>20034.95890410959</v>
      </c>
      <c r="J124" s="42"/>
    </row>
    <row r="125" spans="2:12" ht="12" customHeight="1">
      <c r="B125" s="34" t="s">
        <v>50</v>
      </c>
      <c r="C125" s="35">
        <v>44844</v>
      </c>
      <c r="D125" s="36">
        <v>20000</v>
      </c>
      <c r="E125" s="36">
        <f t="shared" si="3"/>
        <v>4820000</v>
      </c>
      <c r="F125" s="35">
        <v>44865</v>
      </c>
      <c r="G125" s="37">
        <f aca="true" t="shared" si="4" ref="G125:G188">E124*I$15*(F125-F124)/365</f>
        <v>6741.5232876712325</v>
      </c>
      <c r="H125" s="38" t="str">
        <f>"odsetki do 2022-10-31"</f>
        <v>odsetki do 2022-10-31</v>
      </c>
      <c r="I125" s="64"/>
      <c r="J125" s="41">
        <v>44844</v>
      </c>
      <c r="L125" s="43"/>
    </row>
    <row r="126" spans="2:12" ht="12" customHeight="1">
      <c r="B126" s="34" t="s">
        <v>51</v>
      </c>
      <c r="C126" s="35">
        <v>44895</v>
      </c>
      <c r="D126" s="36"/>
      <c r="E126" s="36">
        <f t="shared" si="3"/>
        <v>4820000</v>
      </c>
      <c r="F126" s="35">
        <v>44895</v>
      </c>
      <c r="G126" s="37">
        <f t="shared" si="4"/>
        <v>6497.095890410959</v>
      </c>
      <c r="H126" s="38" t="str">
        <f>"odsetki do 2022-11-30"</f>
        <v>odsetki do 2022-11-30</v>
      </c>
      <c r="I126" s="64"/>
      <c r="J126" s="41"/>
      <c r="L126" s="43"/>
    </row>
    <row r="127" spans="2:12" ht="12" customHeight="1">
      <c r="B127" s="34" t="s">
        <v>52</v>
      </c>
      <c r="C127" s="35">
        <v>44926</v>
      </c>
      <c r="D127" s="36"/>
      <c r="E127" s="36">
        <f t="shared" si="3"/>
        <v>4820000</v>
      </c>
      <c r="F127" s="35">
        <v>44926</v>
      </c>
      <c r="G127" s="37">
        <f t="shared" si="4"/>
        <v>6713.665753424658</v>
      </c>
      <c r="H127" s="38" t="str">
        <f>"odsetki do 2022-12-31"</f>
        <v>odsetki do 2022-12-31</v>
      </c>
      <c r="I127" s="64">
        <f>SUM(G125:G127)</f>
        <v>19952.28493150685</v>
      </c>
      <c r="J127" s="42"/>
      <c r="L127" s="43"/>
    </row>
    <row r="128" spans="2:10" ht="12" customHeight="1">
      <c r="B128" s="34" t="s">
        <v>53</v>
      </c>
      <c r="C128" s="35">
        <v>44936</v>
      </c>
      <c r="D128" s="36">
        <v>50000</v>
      </c>
      <c r="E128" s="36">
        <f t="shared" si="3"/>
        <v>4770000</v>
      </c>
      <c r="F128" s="35">
        <v>44957</v>
      </c>
      <c r="G128" s="37">
        <f t="shared" si="4"/>
        <v>6713.665753424658</v>
      </c>
      <c r="H128" s="38" t="str">
        <f>"odsetki do 2023-01-31"</f>
        <v>odsetki do 2023-01-31</v>
      </c>
      <c r="I128" s="64"/>
      <c r="J128" s="41">
        <v>44936</v>
      </c>
    </row>
    <row r="129" spans="2:12" ht="12" customHeight="1">
      <c r="B129" s="34" t="s">
        <v>54</v>
      </c>
      <c r="C129" s="35">
        <v>44985</v>
      </c>
      <c r="D129" s="36"/>
      <c r="E129" s="36">
        <f t="shared" si="3"/>
        <v>4770000</v>
      </c>
      <c r="F129" s="35">
        <v>44985</v>
      </c>
      <c r="G129" s="37">
        <f t="shared" si="4"/>
        <v>6001.052054794521</v>
      </c>
      <c r="H129" s="38" t="str">
        <f>"odsetki do 2023-02-28"</f>
        <v>odsetki do 2023-02-28</v>
      </c>
      <c r="I129" s="64"/>
      <c r="J129" s="44"/>
      <c r="L129" s="43"/>
    </row>
    <row r="130" spans="2:12" ht="12" customHeight="1">
      <c r="B130" s="34" t="s">
        <v>55</v>
      </c>
      <c r="C130" s="35">
        <v>45016</v>
      </c>
      <c r="D130" s="36"/>
      <c r="E130" s="36">
        <f t="shared" si="3"/>
        <v>4770000</v>
      </c>
      <c r="F130" s="35">
        <v>45016</v>
      </c>
      <c r="G130" s="37">
        <f>E129*I$15*(F130-F129)/365</f>
        <v>6644.021917808219</v>
      </c>
      <c r="H130" s="38" t="str">
        <f>"odsetki do 2023-03-31"</f>
        <v>odsetki do 2023-03-31</v>
      </c>
      <c r="I130" s="64">
        <f>SUM(G128:G130)</f>
        <v>19358.739726027397</v>
      </c>
      <c r="J130" s="42"/>
      <c r="L130" s="43"/>
    </row>
    <row r="131" spans="2:10" ht="12" customHeight="1">
      <c r="B131" s="34" t="s">
        <v>56</v>
      </c>
      <c r="C131" s="35">
        <v>45026</v>
      </c>
      <c r="D131" s="36">
        <v>50000</v>
      </c>
      <c r="E131" s="36">
        <f t="shared" si="3"/>
        <v>4720000</v>
      </c>
      <c r="F131" s="35">
        <v>45046</v>
      </c>
      <c r="G131" s="37">
        <f t="shared" si="4"/>
        <v>6429.698630136986</v>
      </c>
      <c r="H131" s="38" t="str">
        <f>"odsetki do 2023-04-30"</f>
        <v>odsetki do 2023-04-30</v>
      </c>
      <c r="I131" s="64"/>
      <c r="J131" s="41">
        <v>45026</v>
      </c>
    </row>
    <row r="132" spans="2:10" ht="12" customHeight="1">
      <c r="B132" s="34" t="s">
        <v>57</v>
      </c>
      <c r="C132" s="35">
        <v>45077</v>
      </c>
      <c r="D132" s="36"/>
      <c r="E132" s="36">
        <f t="shared" si="3"/>
        <v>4720000</v>
      </c>
      <c r="F132" s="35">
        <v>45077</v>
      </c>
      <c r="G132" s="37">
        <f t="shared" si="4"/>
        <v>6574.378082191781</v>
      </c>
      <c r="H132" s="38" t="str">
        <f>"odsetki do 2023-05-31"</f>
        <v>odsetki do 2023-05-31</v>
      </c>
      <c r="I132" s="64"/>
      <c r="J132" s="44"/>
    </row>
    <row r="133" spans="2:12" ht="12" customHeight="1">
      <c r="B133" s="34" t="s">
        <v>58</v>
      </c>
      <c r="C133" s="35">
        <v>45107</v>
      </c>
      <c r="D133" s="36"/>
      <c r="E133" s="36">
        <f t="shared" si="3"/>
        <v>4720000</v>
      </c>
      <c r="F133" s="35">
        <v>45107</v>
      </c>
      <c r="G133" s="37">
        <f t="shared" si="4"/>
        <v>6362.301369863014</v>
      </c>
      <c r="H133" s="38" t="str">
        <f>"odsetki do 2023-06-30"</f>
        <v>odsetki do 2023-06-30</v>
      </c>
      <c r="I133" s="64">
        <f>SUM(G131:G133)</f>
        <v>19366.37808219178</v>
      </c>
      <c r="J133" s="42"/>
      <c r="L133" s="43"/>
    </row>
    <row r="134" spans="2:12" ht="12" customHeight="1">
      <c r="B134" s="34" t="s">
        <v>59</v>
      </c>
      <c r="C134" s="35">
        <v>45117</v>
      </c>
      <c r="D134" s="36">
        <v>50000</v>
      </c>
      <c r="E134" s="36">
        <f t="shared" si="3"/>
        <v>4670000</v>
      </c>
      <c r="F134" s="35">
        <v>45138</v>
      </c>
      <c r="G134" s="37">
        <f t="shared" si="4"/>
        <v>6574.378082191781</v>
      </c>
      <c r="H134" s="38" t="str">
        <f>"odsetki do 2023-07-31"</f>
        <v>odsetki do 2023-07-31</v>
      </c>
      <c r="I134" s="64"/>
      <c r="J134" s="41">
        <v>45117</v>
      </c>
      <c r="L134" s="43"/>
    </row>
    <row r="135" spans="2:10" ht="12" customHeight="1">
      <c r="B135" s="34" t="s">
        <v>60</v>
      </c>
      <c r="C135" s="35">
        <v>45169</v>
      </c>
      <c r="D135" s="36"/>
      <c r="E135" s="36">
        <f t="shared" si="3"/>
        <v>4670000</v>
      </c>
      <c r="F135" s="35">
        <v>45169</v>
      </c>
      <c r="G135" s="37">
        <f t="shared" si="4"/>
        <v>6504.734246575343</v>
      </c>
      <c r="H135" s="38" t="str">
        <f>"odsetki do 2023-08-31"</f>
        <v>odsetki do 2023-08-31</v>
      </c>
      <c r="I135" s="64"/>
      <c r="J135" s="44"/>
    </row>
    <row r="136" spans="2:10" ht="12" customHeight="1">
      <c r="B136" s="34" t="s">
        <v>61</v>
      </c>
      <c r="C136" s="35">
        <v>45199</v>
      </c>
      <c r="D136" s="36"/>
      <c r="E136" s="36">
        <f t="shared" si="3"/>
        <v>4670000</v>
      </c>
      <c r="F136" s="35">
        <v>45199</v>
      </c>
      <c r="G136" s="37">
        <f t="shared" si="4"/>
        <v>6294.904109589041</v>
      </c>
      <c r="H136" s="38" t="str">
        <f>"odsetki do 2023-09-30"</f>
        <v>odsetki do 2023-09-30</v>
      </c>
      <c r="I136" s="64">
        <f>SUM(G134:G136)</f>
        <v>19374.016438356164</v>
      </c>
      <c r="J136" s="42"/>
    </row>
    <row r="137" spans="2:12" ht="12" customHeight="1">
      <c r="B137" s="34" t="s">
        <v>62</v>
      </c>
      <c r="C137" s="35">
        <v>45209</v>
      </c>
      <c r="D137" s="36">
        <v>50000</v>
      </c>
      <c r="E137" s="36">
        <f t="shared" si="3"/>
        <v>4620000</v>
      </c>
      <c r="F137" s="35">
        <v>45230</v>
      </c>
      <c r="G137" s="37">
        <f t="shared" si="4"/>
        <v>6504.734246575343</v>
      </c>
      <c r="H137" s="38" t="str">
        <f>"odsetki do 2023-10-30"</f>
        <v>odsetki do 2023-10-30</v>
      </c>
      <c r="I137" s="64"/>
      <c r="J137" s="41">
        <v>45209</v>
      </c>
      <c r="L137" s="43"/>
    </row>
    <row r="138" spans="2:12" ht="12" customHeight="1">
      <c r="B138" s="34" t="s">
        <v>63</v>
      </c>
      <c r="C138" s="35">
        <v>45260</v>
      </c>
      <c r="D138" s="36"/>
      <c r="E138" s="36">
        <f t="shared" si="3"/>
        <v>4620000</v>
      </c>
      <c r="F138" s="35">
        <v>45260</v>
      </c>
      <c r="G138" s="37">
        <f t="shared" si="4"/>
        <v>6227.506849315068</v>
      </c>
      <c r="H138" s="38" t="str">
        <f>"odsetki do 2023-11-30"</f>
        <v>odsetki do 2023-11-30</v>
      </c>
      <c r="I138" s="64"/>
      <c r="J138" s="44"/>
      <c r="L138" s="43"/>
    </row>
    <row r="139" spans="2:12" ht="12" customHeight="1">
      <c r="B139" s="34" t="s">
        <v>64</v>
      </c>
      <c r="C139" s="35">
        <v>45291</v>
      </c>
      <c r="D139" s="36"/>
      <c r="E139" s="36">
        <f t="shared" si="3"/>
        <v>4620000</v>
      </c>
      <c r="F139" s="35">
        <v>45291</v>
      </c>
      <c r="G139" s="37">
        <f t="shared" si="4"/>
        <v>6435.090410958904</v>
      </c>
      <c r="H139" s="38" t="str">
        <f>"odsetki do 2023-12-31"</f>
        <v>odsetki do 2023-12-31</v>
      </c>
      <c r="I139" s="64">
        <f>SUM(G137:G139)</f>
        <v>19167.331506849314</v>
      </c>
      <c r="J139" s="42"/>
      <c r="L139" s="43"/>
    </row>
    <row r="140" spans="2:10" ht="12" customHeight="1">
      <c r="B140" s="34" t="s">
        <v>65</v>
      </c>
      <c r="C140" s="35">
        <v>45301</v>
      </c>
      <c r="D140" s="36">
        <v>125000</v>
      </c>
      <c r="E140" s="36">
        <f t="shared" si="3"/>
        <v>4495000</v>
      </c>
      <c r="F140" s="35">
        <v>45322</v>
      </c>
      <c r="G140" s="37">
        <f t="shared" si="4"/>
        <v>6435.090410958904</v>
      </c>
      <c r="H140" s="38" t="str">
        <f>"odsetki do 2024-01-31"</f>
        <v>odsetki do 2024-01-31</v>
      </c>
      <c r="I140" s="64"/>
      <c r="J140" s="41">
        <v>45301</v>
      </c>
    </row>
    <row r="141" spans="2:12" ht="12" customHeight="1">
      <c r="B141" s="34" t="s">
        <v>66</v>
      </c>
      <c r="C141" s="35">
        <v>45351</v>
      </c>
      <c r="D141" s="36"/>
      <c r="E141" s="36">
        <f t="shared" si="3"/>
        <v>4495000</v>
      </c>
      <c r="F141" s="35">
        <v>45351</v>
      </c>
      <c r="G141" s="37">
        <f t="shared" si="4"/>
        <v>5857.046575342466</v>
      </c>
      <c r="H141" s="38" t="str">
        <f>"odsetki do 2024-02-29"</f>
        <v>odsetki do 2024-02-29</v>
      </c>
      <c r="I141" s="64"/>
      <c r="J141" s="41"/>
      <c r="L141" s="43"/>
    </row>
    <row r="142" spans="2:12" ht="12" customHeight="1">
      <c r="B142" s="34" t="s">
        <v>67</v>
      </c>
      <c r="C142" s="35">
        <v>45382</v>
      </c>
      <c r="D142" s="36"/>
      <c r="E142" s="36">
        <f t="shared" si="3"/>
        <v>4495000</v>
      </c>
      <c r="F142" s="35">
        <v>45382</v>
      </c>
      <c r="G142" s="37">
        <f t="shared" si="4"/>
        <v>6260.9808219178085</v>
      </c>
      <c r="H142" s="38" t="str">
        <f>"odsetki do 2024-03-31"</f>
        <v>odsetki do 2024-03-31</v>
      </c>
      <c r="I142" s="64">
        <f>SUM(G140:G142)</f>
        <v>18553.117808219176</v>
      </c>
      <c r="J142" s="42"/>
      <c r="L142" s="43"/>
    </row>
    <row r="143" spans="2:10" ht="12" customHeight="1">
      <c r="B143" s="34" t="s">
        <v>68</v>
      </c>
      <c r="C143" s="35">
        <v>45392</v>
      </c>
      <c r="D143" s="36">
        <v>125000</v>
      </c>
      <c r="E143" s="36">
        <f t="shared" si="3"/>
        <v>4370000</v>
      </c>
      <c r="F143" s="35">
        <v>45412</v>
      </c>
      <c r="G143" s="37">
        <f t="shared" si="4"/>
        <v>6059.013698630137</v>
      </c>
      <c r="H143" s="38" t="str">
        <f>"odsetki do 2024-04-30"</f>
        <v>odsetki do 2024-04-30</v>
      </c>
      <c r="I143" s="64"/>
      <c r="J143" s="41">
        <v>45392</v>
      </c>
    </row>
    <row r="144" spans="2:10" ht="12" customHeight="1">
      <c r="B144" s="34" t="s">
        <v>69</v>
      </c>
      <c r="C144" s="35">
        <v>45443</v>
      </c>
      <c r="D144" s="36"/>
      <c r="E144" s="36">
        <f t="shared" si="3"/>
        <v>4370000</v>
      </c>
      <c r="F144" s="35">
        <v>45443</v>
      </c>
      <c r="G144" s="37">
        <f t="shared" si="4"/>
        <v>6086.871232876712</v>
      </c>
      <c r="H144" s="38" t="str">
        <f>"odsetki do 2024-05-31"</f>
        <v>odsetki do 2024-05-31</v>
      </c>
      <c r="I144" s="64"/>
      <c r="J144" s="44"/>
    </row>
    <row r="145" spans="2:12" ht="12" customHeight="1">
      <c r="B145" s="34" t="s">
        <v>70</v>
      </c>
      <c r="C145" s="35">
        <v>45473</v>
      </c>
      <c r="D145" s="36"/>
      <c r="E145" s="36">
        <f t="shared" si="3"/>
        <v>4370000</v>
      </c>
      <c r="F145" s="35">
        <v>45473</v>
      </c>
      <c r="G145" s="37">
        <f t="shared" si="4"/>
        <v>5890.520547945205</v>
      </c>
      <c r="H145" s="38" t="str">
        <f>"odsetki do 2024-06-30"</f>
        <v>odsetki do 2024-06-30</v>
      </c>
      <c r="I145" s="64">
        <f>SUM(G143:G145)</f>
        <v>18036.405479452056</v>
      </c>
      <c r="J145" s="44"/>
      <c r="L145" s="43"/>
    </row>
    <row r="146" spans="2:12" ht="12" customHeight="1">
      <c r="B146" s="34" t="s">
        <v>71</v>
      </c>
      <c r="C146" s="35">
        <v>45483</v>
      </c>
      <c r="D146" s="36">
        <v>125000</v>
      </c>
      <c r="E146" s="36">
        <f t="shared" si="3"/>
        <v>4245000</v>
      </c>
      <c r="F146" s="35">
        <v>45504</v>
      </c>
      <c r="G146" s="37">
        <f t="shared" si="4"/>
        <v>6086.871232876712</v>
      </c>
      <c r="H146" s="38" t="str">
        <f>"odsetki do 2024-07-31"</f>
        <v>odsetki do 2024-07-31</v>
      </c>
      <c r="I146" s="64"/>
      <c r="J146" s="41">
        <v>45483</v>
      </c>
      <c r="L146" s="43"/>
    </row>
    <row r="147" spans="2:10" ht="12" customHeight="1">
      <c r="B147" s="34" t="s">
        <v>72</v>
      </c>
      <c r="C147" s="35">
        <v>45535</v>
      </c>
      <c r="D147" s="36"/>
      <c r="E147" s="36">
        <f t="shared" si="3"/>
        <v>4245000</v>
      </c>
      <c r="F147" s="35">
        <v>45535</v>
      </c>
      <c r="G147" s="37">
        <f t="shared" si="4"/>
        <v>5912.761643835616</v>
      </c>
      <c r="H147" s="38" t="str">
        <f>"odsetki do 2024-08-31"</f>
        <v>odsetki do 2024-08-31</v>
      </c>
      <c r="I147" s="64"/>
      <c r="J147" s="44"/>
    </row>
    <row r="148" spans="2:10" ht="12" customHeight="1">
      <c r="B148" s="34" t="s">
        <v>73</v>
      </c>
      <c r="C148" s="35">
        <v>45565</v>
      </c>
      <c r="D148" s="36"/>
      <c r="E148" s="36">
        <f t="shared" si="3"/>
        <v>4245000</v>
      </c>
      <c r="F148" s="35">
        <v>45565</v>
      </c>
      <c r="G148" s="37">
        <f t="shared" si="4"/>
        <v>5722.027397260274</v>
      </c>
      <c r="H148" s="38" t="str">
        <f>"odsetki do 2024-09-30"</f>
        <v>odsetki do 2024-09-30</v>
      </c>
      <c r="I148" s="64">
        <f>SUM(G146:G148)</f>
        <v>17721.6602739726</v>
      </c>
      <c r="J148" s="44"/>
    </row>
    <row r="149" spans="2:12" ht="12" customHeight="1">
      <c r="B149" s="34" t="s">
        <v>74</v>
      </c>
      <c r="C149" s="35">
        <v>45575</v>
      </c>
      <c r="D149" s="36">
        <v>125000</v>
      </c>
      <c r="E149" s="36">
        <f t="shared" si="3"/>
        <v>4120000</v>
      </c>
      <c r="F149" s="35">
        <v>45596</v>
      </c>
      <c r="G149" s="37">
        <f t="shared" si="4"/>
        <v>5912.761643835616</v>
      </c>
      <c r="H149" s="38" t="str">
        <f>"odsetki do 2024-10-31"</f>
        <v>odsetki do 2024-10-31</v>
      </c>
      <c r="I149" s="64"/>
      <c r="J149" s="41">
        <v>45575</v>
      </c>
      <c r="L149" s="43"/>
    </row>
    <row r="150" spans="2:12" ht="12" customHeight="1">
      <c r="B150" s="34" t="s">
        <v>75</v>
      </c>
      <c r="C150" s="35">
        <v>45626</v>
      </c>
      <c r="D150" s="36"/>
      <c r="E150" s="36">
        <f t="shared" si="3"/>
        <v>4120000</v>
      </c>
      <c r="F150" s="35">
        <v>45626</v>
      </c>
      <c r="G150" s="37">
        <f t="shared" si="4"/>
        <v>5553.534246575343</v>
      </c>
      <c r="H150" s="38" t="str">
        <f>"odsetki do 2024-11-31"</f>
        <v>odsetki do 2024-11-31</v>
      </c>
      <c r="I150" s="64"/>
      <c r="J150" s="44"/>
      <c r="L150" s="43"/>
    </row>
    <row r="151" spans="2:10" ht="12" customHeight="1">
      <c r="B151" s="34" t="s">
        <v>76</v>
      </c>
      <c r="C151" s="35">
        <v>45657</v>
      </c>
      <c r="D151" s="36"/>
      <c r="E151" s="36">
        <f t="shared" si="3"/>
        <v>4120000</v>
      </c>
      <c r="F151" s="35">
        <v>45657</v>
      </c>
      <c r="G151" s="37">
        <f t="shared" si="4"/>
        <v>5738.65205479452</v>
      </c>
      <c r="H151" s="38" t="str">
        <f>"odsetki do 2024-12-31"</f>
        <v>odsetki do 2024-12-31</v>
      </c>
      <c r="I151" s="64">
        <f>SUM(G149:G151)</f>
        <v>17204.94794520548</v>
      </c>
      <c r="J151" s="44"/>
    </row>
    <row r="152" spans="2:10" ht="12" customHeight="1">
      <c r="B152" s="34" t="s">
        <v>77</v>
      </c>
      <c r="C152" s="35">
        <v>45667</v>
      </c>
      <c r="D152" s="36">
        <v>125000</v>
      </c>
      <c r="E152" s="36">
        <f t="shared" si="3"/>
        <v>3995000</v>
      </c>
      <c r="F152" s="35">
        <v>45688</v>
      </c>
      <c r="G152" s="37">
        <f t="shared" si="4"/>
        <v>5738.65205479452</v>
      </c>
      <c r="H152" s="38" t="str">
        <f>"odsetki do 2025-01-31"</f>
        <v>odsetki do 2025-01-31</v>
      </c>
      <c r="I152" s="64"/>
      <c r="J152" s="41">
        <v>45667</v>
      </c>
    </row>
    <row r="153" spans="2:12" ht="12" customHeight="1">
      <c r="B153" s="34" t="s">
        <v>78</v>
      </c>
      <c r="C153" s="35">
        <v>45716</v>
      </c>
      <c r="D153" s="36"/>
      <c r="E153" s="36">
        <f t="shared" si="3"/>
        <v>3995000</v>
      </c>
      <c r="F153" s="35">
        <v>45716</v>
      </c>
      <c r="G153" s="37">
        <f t="shared" si="4"/>
        <v>5026.038356164384</v>
      </c>
      <c r="H153" s="38" t="str">
        <f>"odsetki do 2025-02-28"</f>
        <v>odsetki do 2025-02-28</v>
      </c>
      <c r="I153" s="64"/>
      <c r="J153" s="44"/>
      <c r="L153" s="43"/>
    </row>
    <row r="154" spans="2:12" ht="12" customHeight="1">
      <c r="B154" s="34" t="s">
        <v>79</v>
      </c>
      <c r="C154" s="35">
        <v>45747</v>
      </c>
      <c r="D154" s="36"/>
      <c r="E154" s="36">
        <f t="shared" si="3"/>
        <v>3995000</v>
      </c>
      <c r="F154" s="35">
        <v>45747</v>
      </c>
      <c r="G154" s="37">
        <f t="shared" si="4"/>
        <v>5564.542465753425</v>
      </c>
      <c r="H154" s="38" t="str">
        <f>"odsetki do 2025-03-31"</f>
        <v>odsetki do 2025-03-31</v>
      </c>
      <c r="I154" s="64">
        <f>SUM(G152:G154)</f>
        <v>16329.232876712329</v>
      </c>
      <c r="J154" s="44"/>
      <c r="L154" s="43"/>
    </row>
    <row r="155" spans="2:10" ht="12" customHeight="1">
      <c r="B155" s="34" t="s">
        <v>80</v>
      </c>
      <c r="C155" s="35">
        <v>45757</v>
      </c>
      <c r="D155" s="36">
        <v>125000</v>
      </c>
      <c r="E155" s="36">
        <f t="shared" si="3"/>
        <v>3870000</v>
      </c>
      <c r="F155" s="35">
        <v>45777</v>
      </c>
      <c r="G155" s="37">
        <f t="shared" si="4"/>
        <v>5385.041095890411</v>
      </c>
      <c r="H155" s="38" t="str">
        <f>"odsetki do 2025-04-30"</f>
        <v>odsetki do 2025-04-30</v>
      </c>
      <c r="I155" s="64"/>
      <c r="J155" s="41">
        <v>45757</v>
      </c>
    </row>
    <row r="156" spans="2:10" ht="12" customHeight="1">
      <c r="B156" s="34" t="s">
        <v>81</v>
      </c>
      <c r="C156" s="35">
        <v>45808</v>
      </c>
      <c r="D156" s="36"/>
      <c r="E156" s="36">
        <f t="shared" si="3"/>
        <v>3870000</v>
      </c>
      <c r="F156" s="35">
        <v>45808</v>
      </c>
      <c r="G156" s="37">
        <f t="shared" si="4"/>
        <v>5390.43287671233</v>
      </c>
      <c r="H156" s="38" t="str">
        <f>"odsetki do 2025-05-31"</f>
        <v>odsetki do 2025-05-31</v>
      </c>
      <c r="I156" s="64"/>
      <c r="J156" s="41"/>
    </row>
    <row r="157" spans="2:12" ht="12" customHeight="1">
      <c r="B157" s="34" t="s">
        <v>82</v>
      </c>
      <c r="C157" s="35">
        <v>45838</v>
      </c>
      <c r="D157" s="36"/>
      <c r="E157" s="36">
        <f t="shared" si="3"/>
        <v>3870000</v>
      </c>
      <c r="F157" s="35">
        <v>45838</v>
      </c>
      <c r="G157" s="37">
        <f t="shared" si="4"/>
        <v>5216.54794520548</v>
      </c>
      <c r="H157" s="38" t="str">
        <f>"odsetki do 2025-06-30"</f>
        <v>odsetki do 2025-06-30</v>
      </c>
      <c r="I157" s="64">
        <f>SUM(G155:G157)</f>
        <v>15992.021917808219</v>
      </c>
      <c r="J157" s="42"/>
      <c r="L157" s="43"/>
    </row>
    <row r="158" spans="2:12" ht="12" customHeight="1">
      <c r="B158" s="34" t="s">
        <v>83</v>
      </c>
      <c r="C158" s="35">
        <v>45848</v>
      </c>
      <c r="D158" s="36">
        <v>125000</v>
      </c>
      <c r="E158" s="36">
        <f t="shared" si="3"/>
        <v>3745000</v>
      </c>
      <c r="F158" s="35">
        <v>45869</v>
      </c>
      <c r="G158" s="37">
        <f t="shared" si="4"/>
        <v>5390.43287671233</v>
      </c>
      <c r="H158" s="38" t="str">
        <f>"odsetki do 2025-07-31"</f>
        <v>odsetki do 2025-07-31</v>
      </c>
      <c r="I158" s="64"/>
      <c r="J158" s="41">
        <v>45848</v>
      </c>
      <c r="L158" s="43"/>
    </row>
    <row r="159" spans="2:10" ht="12" customHeight="1">
      <c r="B159" s="34" t="s">
        <v>84</v>
      </c>
      <c r="C159" s="35">
        <v>45900</v>
      </c>
      <c r="D159" s="36"/>
      <c r="E159" s="36">
        <f t="shared" si="3"/>
        <v>3745000</v>
      </c>
      <c r="F159" s="35">
        <v>45900</v>
      </c>
      <c r="G159" s="37">
        <f t="shared" si="4"/>
        <v>5216.323287671234</v>
      </c>
      <c r="H159" s="38" t="str">
        <f>"odsetki do 2025-08-31"</f>
        <v>odsetki do 2025-08-31</v>
      </c>
      <c r="I159" s="64"/>
      <c r="J159" s="41"/>
    </row>
    <row r="160" spans="2:10" ht="12" customHeight="1">
      <c r="B160" s="34" t="s">
        <v>85</v>
      </c>
      <c r="C160" s="35">
        <v>45930</v>
      </c>
      <c r="D160" s="36"/>
      <c r="E160" s="36">
        <f t="shared" si="3"/>
        <v>3745000</v>
      </c>
      <c r="F160" s="35">
        <v>45930</v>
      </c>
      <c r="G160" s="37">
        <f t="shared" si="4"/>
        <v>5048.054794520549</v>
      </c>
      <c r="H160" s="38" t="str">
        <f>"odsetki do 2025-09-30"</f>
        <v>odsetki do 2025-09-30</v>
      </c>
      <c r="I160" s="64">
        <f>SUM(G158:G160)</f>
        <v>15654.810958904112</v>
      </c>
      <c r="J160" s="45"/>
    </row>
    <row r="161" spans="2:12" ht="12" customHeight="1">
      <c r="B161" s="34" t="s">
        <v>86</v>
      </c>
      <c r="C161" s="35">
        <v>45940</v>
      </c>
      <c r="D161" s="36">
        <v>125000</v>
      </c>
      <c r="E161" s="36">
        <f>E160-D161</f>
        <v>3620000</v>
      </c>
      <c r="F161" s="35">
        <v>45961</v>
      </c>
      <c r="G161" s="37">
        <f>E160*I$15*(F161-F160)/365</f>
        <v>5216.323287671234</v>
      </c>
      <c r="H161" s="38" t="str">
        <f>"odsetki do 2025-10-31"</f>
        <v>odsetki do 2025-10-31</v>
      </c>
      <c r="I161" s="64"/>
      <c r="J161" s="46">
        <v>45940</v>
      </c>
      <c r="L161" s="43"/>
    </row>
    <row r="162" spans="2:12" ht="12" customHeight="1">
      <c r="B162" s="34" t="s">
        <v>87</v>
      </c>
      <c r="C162" s="35">
        <v>45991</v>
      </c>
      <c r="D162" s="36"/>
      <c r="E162" s="36">
        <f t="shared" si="3"/>
        <v>3620000</v>
      </c>
      <c r="F162" s="35">
        <v>45991</v>
      </c>
      <c r="G162" s="37">
        <f t="shared" si="4"/>
        <v>4879.561643835617</v>
      </c>
      <c r="H162" s="38" t="str">
        <f>"odsetki do 2025-11-30"</f>
        <v>odsetki do 2025-11-30</v>
      </c>
      <c r="I162" s="64"/>
      <c r="J162" s="41"/>
      <c r="L162" s="43"/>
    </row>
    <row r="163" spans="2:10" ht="12" customHeight="1">
      <c r="B163" s="34" t="s">
        <v>88</v>
      </c>
      <c r="C163" s="35">
        <v>46022</v>
      </c>
      <c r="D163" s="36"/>
      <c r="E163" s="36">
        <f t="shared" si="3"/>
        <v>3620000</v>
      </c>
      <c r="F163" s="35">
        <v>46022</v>
      </c>
      <c r="G163" s="37">
        <f t="shared" si="4"/>
        <v>5042.2136986301375</v>
      </c>
      <c r="H163" s="38" t="str">
        <f>"odsetki do 2025-12-31"</f>
        <v>odsetki do 2025-12-31</v>
      </c>
      <c r="I163" s="64">
        <f>SUM(G161:G163)</f>
        <v>15138.098630136989</v>
      </c>
      <c r="J163" s="44"/>
    </row>
    <row r="164" spans="2:12" ht="12" customHeight="1">
      <c r="B164" s="34" t="s">
        <v>89</v>
      </c>
      <c r="C164" s="35">
        <v>46032</v>
      </c>
      <c r="D164" s="36">
        <v>125000</v>
      </c>
      <c r="E164" s="36">
        <f t="shared" si="3"/>
        <v>3495000</v>
      </c>
      <c r="F164" s="35">
        <v>46053</v>
      </c>
      <c r="G164" s="37">
        <f t="shared" si="4"/>
        <v>5042.2136986301375</v>
      </c>
      <c r="H164" s="38" t="str">
        <f>"odsetki do 2026-01-31"</f>
        <v>odsetki do 2026-01-31</v>
      </c>
      <c r="I164" s="64"/>
      <c r="J164" s="47">
        <v>46032</v>
      </c>
      <c r="L164" s="43"/>
    </row>
    <row r="165" spans="2:12" ht="12" customHeight="1">
      <c r="B165" s="34" t="s">
        <v>90</v>
      </c>
      <c r="C165" s="35">
        <v>46081</v>
      </c>
      <c r="D165" s="36"/>
      <c r="E165" s="36">
        <f t="shared" si="3"/>
        <v>3495000</v>
      </c>
      <c r="F165" s="35">
        <v>46081</v>
      </c>
      <c r="G165" s="37">
        <f t="shared" si="4"/>
        <v>4396.997260273974</v>
      </c>
      <c r="H165" s="38" t="str">
        <f>"odsetki do 2026-02-28"</f>
        <v>odsetki do 2026-02-28</v>
      </c>
      <c r="I165" s="64"/>
      <c r="J165" s="41"/>
      <c r="L165" s="43"/>
    </row>
    <row r="166" spans="2:12" ht="12" customHeight="1">
      <c r="B166" s="34" t="s">
        <v>91</v>
      </c>
      <c r="C166" s="35">
        <v>46112</v>
      </c>
      <c r="D166" s="36"/>
      <c r="E166" s="36">
        <f t="shared" si="3"/>
        <v>3495000</v>
      </c>
      <c r="F166" s="35">
        <v>46112</v>
      </c>
      <c r="G166" s="37">
        <f t="shared" si="4"/>
        <v>4868.104109589041</v>
      </c>
      <c r="H166" s="38" t="str">
        <f>"odsetki do 2026-03-31"</f>
        <v>odsetki do 2026-03-31</v>
      </c>
      <c r="I166" s="64">
        <f>SUM(G164:G166)</f>
        <v>14307.315068493152</v>
      </c>
      <c r="J166" s="44"/>
      <c r="L166" s="43"/>
    </row>
    <row r="167" spans="2:10" ht="12" customHeight="1">
      <c r="B167" s="34" t="s">
        <v>92</v>
      </c>
      <c r="C167" s="35">
        <v>46122</v>
      </c>
      <c r="D167" s="36">
        <v>125000</v>
      </c>
      <c r="E167" s="36">
        <f t="shared" si="3"/>
        <v>3370000</v>
      </c>
      <c r="F167" s="35">
        <v>46142</v>
      </c>
      <c r="G167" s="37">
        <f t="shared" si="4"/>
        <v>4711.068493150686</v>
      </c>
      <c r="H167" s="38" t="str">
        <f>"odsetki do 2026-04-30"</f>
        <v>odsetki do 2026-04-30</v>
      </c>
      <c r="I167" s="64"/>
      <c r="J167" s="47">
        <v>46122</v>
      </c>
    </row>
    <row r="168" spans="2:10" ht="12" customHeight="1">
      <c r="B168" s="34" t="s">
        <v>93</v>
      </c>
      <c r="C168" s="35">
        <v>46173</v>
      </c>
      <c r="D168" s="36"/>
      <c r="E168" s="36">
        <f aca="true" t="shared" si="5" ref="E168:E231">E167-D168</f>
        <v>3370000</v>
      </c>
      <c r="F168" s="35">
        <v>46173</v>
      </c>
      <c r="G168" s="37">
        <f t="shared" si="4"/>
        <v>4693.994520547946</v>
      </c>
      <c r="H168" s="38" t="str">
        <f>"odsetki do 2026-05-31"</f>
        <v>odsetki do 2026-05-31</v>
      </c>
      <c r="I168" s="64"/>
      <c r="J168" s="41"/>
    </row>
    <row r="169" spans="2:12" ht="12" customHeight="1">
      <c r="B169" s="34" t="s">
        <v>94</v>
      </c>
      <c r="C169" s="35">
        <v>46203</v>
      </c>
      <c r="D169" s="36"/>
      <c r="E169" s="36">
        <f t="shared" si="5"/>
        <v>3370000</v>
      </c>
      <c r="F169" s="35">
        <v>46203</v>
      </c>
      <c r="G169" s="37">
        <f t="shared" si="4"/>
        <v>4542.575342465754</v>
      </c>
      <c r="H169" s="38" t="str">
        <f>"odsetki do 2026-06-30"</f>
        <v>odsetki do 2026-06-30</v>
      </c>
      <c r="I169" s="64">
        <f>SUM(G167:G169)</f>
        <v>13947.638356164387</v>
      </c>
      <c r="J169" s="44"/>
      <c r="L169" s="43"/>
    </row>
    <row r="170" spans="2:12" ht="12" customHeight="1">
      <c r="B170" s="34" t="s">
        <v>95</v>
      </c>
      <c r="C170" s="35">
        <v>46213</v>
      </c>
      <c r="D170" s="36">
        <v>125000</v>
      </c>
      <c r="E170" s="36">
        <f t="shared" si="5"/>
        <v>3245000</v>
      </c>
      <c r="F170" s="35">
        <v>46234</v>
      </c>
      <c r="G170" s="37">
        <f t="shared" si="4"/>
        <v>4693.994520547946</v>
      </c>
      <c r="H170" s="38" t="str">
        <f>"odsetki do 2026-07-31"</f>
        <v>odsetki do 2026-07-31</v>
      </c>
      <c r="I170" s="64"/>
      <c r="J170" s="47">
        <v>46213</v>
      </c>
      <c r="L170" s="43"/>
    </row>
    <row r="171" spans="2:10" ht="12" customHeight="1">
      <c r="B171" s="34" t="s">
        <v>96</v>
      </c>
      <c r="C171" s="35">
        <v>46265</v>
      </c>
      <c r="D171" s="36"/>
      <c r="E171" s="36">
        <f t="shared" si="5"/>
        <v>3245000</v>
      </c>
      <c r="F171" s="35">
        <v>46265</v>
      </c>
      <c r="G171" s="37">
        <f t="shared" si="4"/>
        <v>4519.88493150685</v>
      </c>
      <c r="H171" s="38" t="str">
        <f>"odsetki do 2026-08-31"</f>
        <v>odsetki do 2026-08-31</v>
      </c>
      <c r="I171" s="64"/>
      <c r="J171" s="41"/>
    </row>
    <row r="172" spans="2:10" ht="12" customHeight="1">
      <c r="B172" s="34" t="s">
        <v>97</v>
      </c>
      <c r="C172" s="35">
        <v>46295</v>
      </c>
      <c r="D172" s="36"/>
      <c r="E172" s="36">
        <f t="shared" si="5"/>
        <v>3245000</v>
      </c>
      <c r="F172" s="35">
        <v>46295</v>
      </c>
      <c r="G172" s="37">
        <f t="shared" si="4"/>
        <v>4374.0821917808225</v>
      </c>
      <c r="H172" s="38" t="str">
        <f>"odsetki do 2026-09-30"</f>
        <v>odsetki do 2026-09-30</v>
      </c>
      <c r="I172" s="64">
        <f>SUM(G170:G172)</f>
        <v>13587.961643835619</v>
      </c>
      <c r="J172" s="41"/>
    </row>
    <row r="173" spans="2:12" ht="12" customHeight="1">
      <c r="B173" s="34" t="s">
        <v>98</v>
      </c>
      <c r="C173" s="35">
        <v>46305</v>
      </c>
      <c r="D173" s="36">
        <v>125000</v>
      </c>
      <c r="E173" s="36">
        <f t="shared" si="5"/>
        <v>3120000</v>
      </c>
      <c r="F173" s="35">
        <v>46326</v>
      </c>
      <c r="G173" s="37">
        <f t="shared" si="4"/>
        <v>4519.88493150685</v>
      </c>
      <c r="H173" s="38" t="str">
        <f>"odsetki do 2026-10-31"</f>
        <v>odsetki do 2026-10-31</v>
      </c>
      <c r="I173" s="64"/>
      <c r="J173" s="41">
        <v>46305</v>
      </c>
      <c r="L173" s="43"/>
    </row>
    <row r="174" spans="2:12" ht="12" customHeight="1">
      <c r="B174" s="34" t="s">
        <v>99</v>
      </c>
      <c r="C174" s="35">
        <v>46356</v>
      </c>
      <c r="D174" s="36"/>
      <c r="E174" s="36">
        <f t="shared" si="5"/>
        <v>3120000</v>
      </c>
      <c r="F174" s="35">
        <v>46356</v>
      </c>
      <c r="G174" s="37">
        <f t="shared" si="4"/>
        <v>4205.589041095891</v>
      </c>
      <c r="H174" s="38" t="str">
        <f>"odsetki do 2026-11-30"</f>
        <v>odsetki do 2026-11-30</v>
      </c>
      <c r="I174" s="64"/>
      <c r="J174" s="41"/>
      <c r="L174" s="43"/>
    </row>
    <row r="175" spans="2:10" ht="12" customHeight="1">
      <c r="B175" s="34" t="s">
        <v>100</v>
      </c>
      <c r="C175" s="35">
        <v>46387</v>
      </c>
      <c r="D175" s="36"/>
      <c r="E175" s="36">
        <f t="shared" si="5"/>
        <v>3120000</v>
      </c>
      <c r="F175" s="35">
        <v>46387</v>
      </c>
      <c r="G175" s="37">
        <f t="shared" si="4"/>
        <v>4345.775342465754</v>
      </c>
      <c r="H175" s="38" t="str">
        <f>"odsetki do 2026-12-31"</f>
        <v>odsetki do 2026-12-31</v>
      </c>
      <c r="I175" s="64">
        <f>SUM(G173:G175)</f>
        <v>13071.249315068493</v>
      </c>
      <c r="J175" s="41"/>
    </row>
    <row r="176" spans="2:12" ht="12" customHeight="1">
      <c r="B176" s="34" t="s">
        <v>101</v>
      </c>
      <c r="C176" s="35">
        <v>46397</v>
      </c>
      <c r="D176" s="36">
        <v>125000</v>
      </c>
      <c r="E176" s="36">
        <f t="shared" si="5"/>
        <v>2995000</v>
      </c>
      <c r="F176" s="35">
        <v>46418</v>
      </c>
      <c r="G176" s="37">
        <f t="shared" si="4"/>
        <v>4345.775342465754</v>
      </c>
      <c r="H176" s="38" t="str">
        <f>"odsetki do 2027-01-31"</f>
        <v>odsetki do 2027-01-31</v>
      </c>
      <c r="I176" s="64"/>
      <c r="J176" s="41">
        <v>46397</v>
      </c>
      <c r="L176" s="12"/>
    </row>
    <row r="177" spans="2:12" ht="12" customHeight="1">
      <c r="B177" s="34" t="s">
        <v>102</v>
      </c>
      <c r="C177" s="35">
        <v>46446</v>
      </c>
      <c r="D177" s="36"/>
      <c r="E177" s="36">
        <f t="shared" si="5"/>
        <v>2995000</v>
      </c>
      <c r="F177" s="35">
        <v>46446</v>
      </c>
      <c r="G177" s="37">
        <f t="shared" si="4"/>
        <v>3767.9561643835623</v>
      </c>
      <c r="H177" s="38" t="str">
        <f>"odsetki do 2027-02-28"</f>
        <v>odsetki do 2027-02-28</v>
      </c>
      <c r="I177" s="64"/>
      <c r="J177" s="41"/>
      <c r="L177" s="43"/>
    </row>
    <row r="178" spans="2:12" ht="12" customHeight="1">
      <c r="B178" s="34" t="s">
        <v>103</v>
      </c>
      <c r="C178" s="35">
        <v>46477</v>
      </c>
      <c r="D178" s="36"/>
      <c r="E178" s="36">
        <f t="shared" si="5"/>
        <v>2995000</v>
      </c>
      <c r="F178" s="35">
        <v>46477</v>
      </c>
      <c r="G178" s="37">
        <f t="shared" si="4"/>
        <v>4171.665753424658</v>
      </c>
      <c r="H178" s="38" t="str">
        <f>"odsetki do 2027-03-31"</f>
        <v>odsetki do 2027-03-31</v>
      </c>
      <c r="I178" s="64">
        <f>SUM(G176:G178)</f>
        <v>12285.397260273974</v>
      </c>
      <c r="J178" s="41"/>
      <c r="L178" s="43"/>
    </row>
    <row r="179" spans="2:10" ht="12" customHeight="1">
      <c r="B179" s="34" t="s">
        <v>104</v>
      </c>
      <c r="C179" s="35">
        <v>46487</v>
      </c>
      <c r="D179" s="36">
        <v>125000</v>
      </c>
      <c r="E179" s="36">
        <f t="shared" si="5"/>
        <v>2870000</v>
      </c>
      <c r="F179" s="35">
        <v>46507</v>
      </c>
      <c r="G179" s="37">
        <f t="shared" si="4"/>
        <v>4037.0958904109593</v>
      </c>
      <c r="H179" s="38" t="str">
        <f>"odsetki do 2027-04-30"</f>
        <v>odsetki do 2027-04-30</v>
      </c>
      <c r="I179" s="64"/>
      <c r="J179" s="41">
        <v>46487</v>
      </c>
    </row>
    <row r="180" spans="2:10" ht="12" customHeight="1">
      <c r="B180" s="34" t="s">
        <v>105</v>
      </c>
      <c r="C180" s="35">
        <v>46538</v>
      </c>
      <c r="D180" s="36"/>
      <c r="E180" s="36">
        <f t="shared" si="5"/>
        <v>2870000</v>
      </c>
      <c r="F180" s="35">
        <v>46538</v>
      </c>
      <c r="G180" s="37">
        <f t="shared" si="4"/>
        <v>3997.556164383562</v>
      </c>
      <c r="H180" s="38" t="str">
        <f>"odsetki do 2027-05-31"</f>
        <v>odsetki do 2027-05-31</v>
      </c>
      <c r="I180" s="64"/>
      <c r="J180" s="41"/>
    </row>
    <row r="181" spans="2:12" ht="12" customHeight="1">
      <c r="B181" s="34" t="s">
        <v>106</v>
      </c>
      <c r="C181" s="35">
        <v>46568</v>
      </c>
      <c r="D181" s="36"/>
      <c r="E181" s="36">
        <f t="shared" si="5"/>
        <v>2870000</v>
      </c>
      <c r="F181" s="35">
        <v>46568</v>
      </c>
      <c r="G181" s="37">
        <f t="shared" si="4"/>
        <v>3868.602739726028</v>
      </c>
      <c r="H181" s="38" t="str">
        <f>"odsetki do 2027-06-30"</f>
        <v>odsetki do 2027-06-30</v>
      </c>
      <c r="I181" s="64">
        <f>SUM(G179:G181)</f>
        <v>11903.25479452055</v>
      </c>
      <c r="J181" s="41"/>
      <c r="L181" s="43"/>
    </row>
    <row r="182" spans="2:12" ht="12" customHeight="1">
      <c r="B182" s="34" t="s">
        <v>107</v>
      </c>
      <c r="C182" s="35">
        <v>46578</v>
      </c>
      <c r="D182" s="36">
        <v>125000</v>
      </c>
      <c r="E182" s="36">
        <f t="shared" si="5"/>
        <v>2745000</v>
      </c>
      <c r="F182" s="35">
        <v>46599</v>
      </c>
      <c r="G182" s="37">
        <f t="shared" si="4"/>
        <v>3997.556164383562</v>
      </c>
      <c r="H182" s="38" t="str">
        <f>"odsetki do 2027-07-31"</f>
        <v>odsetki do 2027-07-31</v>
      </c>
      <c r="I182" s="64"/>
      <c r="J182" s="41">
        <v>46578</v>
      </c>
      <c r="L182" s="43"/>
    </row>
    <row r="183" spans="2:10" ht="12" customHeight="1">
      <c r="B183" s="34" t="s">
        <v>108</v>
      </c>
      <c r="C183" s="35">
        <v>46630</v>
      </c>
      <c r="D183" s="36"/>
      <c r="E183" s="36">
        <f t="shared" si="5"/>
        <v>2745000</v>
      </c>
      <c r="F183" s="35">
        <v>46630</v>
      </c>
      <c r="G183" s="37">
        <f t="shared" si="4"/>
        <v>3823.4465753424665</v>
      </c>
      <c r="H183" s="38" t="str">
        <f>"odsetki do 2027-08-31"</f>
        <v>odsetki do 2027-08-31</v>
      </c>
      <c r="I183" s="64"/>
      <c r="J183" s="41"/>
    </row>
    <row r="184" spans="2:12" ht="12" customHeight="1">
      <c r="B184" s="34" t="s">
        <v>109</v>
      </c>
      <c r="C184" s="35">
        <v>46660</v>
      </c>
      <c r="D184" s="36"/>
      <c r="E184" s="36">
        <f t="shared" si="5"/>
        <v>2745000</v>
      </c>
      <c r="F184" s="35">
        <v>46660</v>
      </c>
      <c r="G184" s="37">
        <f t="shared" si="4"/>
        <v>3700.1095890410966</v>
      </c>
      <c r="H184" s="38" t="str">
        <f>"odsetki do 2027-09-30"</f>
        <v>odsetki do 2027-09-30</v>
      </c>
      <c r="I184" s="64">
        <f>SUM(G182:G184)</f>
        <v>11521.112328767125</v>
      </c>
      <c r="J184" s="41"/>
      <c r="L184" s="43"/>
    </row>
    <row r="185" spans="2:12" ht="12" customHeight="1">
      <c r="B185" s="34" t="s">
        <v>110</v>
      </c>
      <c r="C185" s="35">
        <v>46670</v>
      </c>
      <c r="D185" s="36">
        <v>125000</v>
      </c>
      <c r="E185" s="36">
        <f t="shared" si="5"/>
        <v>2620000</v>
      </c>
      <c r="F185" s="35">
        <v>46691</v>
      </c>
      <c r="G185" s="37">
        <f t="shared" si="4"/>
        <v>3823.4465753424665</v>
      </c>
      <c r="H185" s="38" t="str">
        <f>"odsetki do 2027-10-31"</f>
        <v>odsetki do 2027-10-31</v>
      </c>
      <c r="I185" s="64"/>
      <c r="J185" s="41">
        <v>46670</v>
      </c>
      <c r="L185" s="43"/>
    </row>
    <row r="186" spans="2:12" ht="12" customHeight="1">
      <c r="B186" s="34" t="s">
        <v>111</v>
      </c>
      <c r="C186" s="35">
        <v>46721</v>
      </c>
      <c r="D186" s="36"/>
      <c r="E186" s="36">
        <f t="shared" si="5"/>
        <v>2620000</v>
      </c>
      <c r="F186" s="35">
        <v>46721</v>
      </c>
      <c r="G186" s="37">
        <f t="shared" si="4"/>
        <v>3531.6164383561645</v>
      </c>
      <c r="H186" s="38" t="str">
        <f>"odsetki do 2027-11-30"</f>
        <v>odsetki do 2027-11-30</v>
      </c>
      <c r="I186" s="64"/>
      <c r="J186" s="41"/>
      <c r="L186" s="43"/>
    </row>
    <row r="187" spans="2:10" ht="12" customHeight="1">
      <c r="B187" s="34" t="s">
        <v>112</v>
      </c>
      <c r="C187" s="35">
        <v>46752</v>
      </c>
      <c r="D187" s="36"/>
      <c r="E187" s="36">
        <f t="shared" si="5"/>
        <v>2620000</v>
      </c>
      <c r="F187" s="35">
        <v>46752</v>
      </c>
      <c r="G187" s="37">
        <f t="shared" si="4"/>
        <v>3649.33698630137</v>
      </c>
      <c r="H187" s="38" t="str">
        <f>"odsetki do 2027-12-31"</f>
        <v>odsetki do 2027-12-31</v>
      </c>
      <c r="I187" s="64">
        <f>SUM(G185:G187)</f>
        <v>11004.400000000001</v>
      </c>
      <c r="J187" s="41"/>
    </row>
    <row r="188" spans="2:10" ht="12" customHeight="1">
      <c r="B188" s="34" t="s">
        <v>113</v>
      </c>
      <c r="C188" s="35">
        <v>46762</v>
      </c>
      <c r="D188" s="36">
        <v>125000</v>
      </c>
      <c r="E188" s="36">
        <f t="shared" si="5"/>
        <v>2495000</v>
      </c>
      <c r="F188" s="35">
        <v>46783</v>
      </c>
      <c r="G188" s="37">
        <f t="shared" si="4"/>
        <v>3649.33698630137</v>
      </c>
      <c r="H188" s="38" t="str">
        <f>"odsetki do 2028-01-31"</f>
        <v>odsetki do 2028-01-31</v>
      </c>
      <c r="I188" s="64"/>
      <c r="J188" s="41">
        <v>46762</v>
      </c>
    </row>
    <row r="189" spans="2:12" ht="12" customHeight="1">
      <c r="B189" s="34" t="s">
        <v>114</v>
      </c>
      <c r="C189" s="35">
        <v>46812</v>
      </c>
      <c r="D189" s="36"/>
      <c r="E189" s="36">
        <f t="shared" si="5"/>
        <v>2495000</v>
      </c>
      <c r="F189" s="35">
        <v>46812</v>
      </c>
      <c r="G189" s="37">
        <f aca="true" t="shared" si="6" ref="G189:G246">E188*I$15*(F189-F188)/365</f>
        <v>3251.019178082192</v>
      </c>
      <c r="H189" s="38" t="str">
        <f>"odsetki do 2028-02-29"</f>
        <v>odsetki do 2028-02-29</v>
      </c>
      <c r="I189" s="64"/>
      <c r="J189" s="41"/>
      <c r="L189" s="43"/>
    </row>
    <row r="190" spans="2:12" ht="12" customHeight="1">
      <c r="B190" s="34" t="s">
        <v>115</v>
      </c>
      <c r="C190" s="35">
        <v>46843</v>
      </c>
      <c r="D190" s="36"/>
      <c r="E190" s="36">
        <f t="shared" si="5"/>
        <v>2495000</v>
      </c>
      <c r="F190" s="35">
        <v>46843</v>
      </c>
      <c r="G190" s="37">
        <f t="shared" si="6"/>
        <v>3475.227397260274</v>
      </c>
      <c r="H190" s="38" t="str">
        <f>"odsetki do 2028-03-31"</f>
        <v>odsetki do 2028-03-31</v>
      </c>
      <c r="I190" s="64">
        <f>SUM(G188:G190)</f>
        <v>10375.583561643836</v>
      </c>
      <c r="J190" s="41"/>
      <c r="L190" s="43"/>
    </row>
    <row r="191" spans="2:10" ht="12" customHeight="1">
      <c r="B191" s="34" t="s">
        <v>116</v>
      </c>
      <c r="C191" s="35">
        <v>46853</v>
      </c>
      <c r="D191" s="48">
        <v>125000</v>
      </c>
      <c r="E191" s="36">
        <f t="shared" si="5"/>
        <v>2370000</v>
      </c>
      <c r="F191" s="35">
        <v>46873</v>
      </c>
      <c r="G191" s="37">
        <f t="shared" si="6"/>
        <v>3363.123287671233</v>
      </c>
      <c r="H191" s="38" t="str">
        <f>"odsetki do 2028-04-30"</f>
        <v>odsetki do 2028-04-30</v>
      </c>
      <c r="I191" s="64"/>
      <c r="J191" s="41">
        <v>46853</v>
      </c>
    </row>
    <row r="192" spans="2:10" ht="12" customHeight="1">
      <c r="B192" s="34" t="s">
        <v>117</v>
      </c>
      <c r="C192" s="35">
        <v>46904</v>
      </c>
      <c r="D192" s="48"/>
      <c r="E192" s="36">
        <f t="shared" si="5"/>
        <v>2370000</v>
      </c>
      <c r="F192" s="35">
        <v>46904</v>
      </c>
      <c r="G192" s="37">
        <f t="shared" si="6"/>
        <v>3301.117808219178</v>
      </c>
      <c r="H192" s="38" t="str">
        <f>"odsetki do 2028-05-31"</f>
        <v>odsetki do 2028-05-31</v>
      </c>
      <c r="I192" s="64"/>
      <c r="J192" s="41"/>
    </row>
    <row r="193" spans="2:12" ht="12" customHeight="1">
      <c r="B193" s="34" t="s">
        <v>118</v>
      </c>
      <c r="C193" s="35">
        <v>46934</v>
      </c>
      <c r="D193" s="48"/>
      <c r="E193" s="36">
        <f t="shared" si="5"/>
        <v>2370000</v>
      </c>
      <c r="F193" s="35">
        <v>46934</v>
      </c>
      <c r="G193" s="37">
        <f t="shared" si="6"/>
        <v>3194.6301369863013</v>
      </c>
      <c r="H193" s="38" t="str">
        <f>"odsetki do 2028-06-30"</f>
        <v>odsetki do 2028-06-30</v>
      </c>
      <c r="I193" s="64">
        <f>SUM(G191:G193)</f>
        <v>9858.871232876712</v>
      </c>
      <c r="J193" s="41"/>
      <c r="L193" s="43"/>
    </row>
    <row r="194" spans="2:12" ht="12" customHeight="1">
      <c r="B194" s="34" t="s">
        <v>119</v>
      </c>
      <c r="C194" s="35">
        <v>46944</v>
      </c>
      <c r="D194" s="48">
        <v>125000</v>
      </c>
      <c r="E194" s="36">
        <f t="shared" si="5"/>
        <v>2245000</v>
      </c>
      <c r="F194" s="35">
        <v>46965</v>
      </c>
      <c r="G194" s="37">
        <f t="shared" si="6"/>
        <v>3301.117808219178</v>
      </c>
      <c r="H194" s="38" t="str">
        <f>"odsetki do 2028-07-31"</f>
        <v>odsetki do 2028-07-31</v>
      </c>
      <c r="I194" s="64"/>
      <c r="J194" s="41">
        <v>46944</v>
      </c>
      <c r="L194" s="43"/>
    </row>
    <row r="195" spans="2:10" ht="12" customHeight="1">
      <c r="B195" s="34" t="s">
        <v>120</v>
      </c>
      <c r="C195" s="35">
        <v>46996</v>
      </c>
      <c r="D195" s="48"/>
      <c r="E195" s="36">
        <f t="shared" si="5"/>
        <v>2245000</v>
      </c>
      <c r="F195" s="35">
        <v>46996</v>
      </c>
      <c r="G195" s="37">
        <f t="shared" si="6"/>
        <v>3127.008219178082</v>
      </c>
      <c r="H195" s="38" t="str">
        <f>"odsetki do 2028-08-31"</f>
        <v>odsetki do 2028-08-31</v>
      </c>
      <c r="I195" s="64"/>
      <c r="J195" s="41"/>
    </row>
    <row r="196" spans="2:10" ht="12" customHeight="1">
      <c r="B196" s="34" t="s">
        <v>121</v>
      </c>
      <c r="C196" s="35">
        <v>47026</v>
      </c>
      <c r="D196" s="48"/>
      <c r="E196" s="36">
        <f t="shared" si="5"/>
        <v>2245000</v>
      </c>
      <c r="F196" s="35">
        <v>47026</v>
      </c>
      <c r="G196" s="37">
        <f t="shared" si="6"/>
        <v>3026.1369863013697</v>
      </c>
      <c r="H196" s="38" t="str">
        <f>"odsetki do 2028-09-30"</f>
        <v>odsetki do 2028-09-30</v>
      </c>
      <c r="I196" s="64">
        <f>SUM(G194:G196)</f>
        <v>9454.26301369863</v>
      </c>
      <c r="J196" s="41"/>
    </row>
    <row r="197" spans="2:12" ht="12" customHeight="1">
      <c r="B197" s="34" t="s">
        <v>122</v>
      </c>
      <c r="C197" s="35">
        <v>47036</v>
      </c>
      <c r="D197" s="48">
        <v>125000</v>
      </c>
      <c r="E197" s="36">
        <f t="shared" si="5"/>
        <v>2120000</v>
      </c>
      <c r="F197" s="35">
        <v>47057</v>
      </c>
      <c r="G197" s="37">
        <f t="shared" si="6"/>
        <v>3127.008219178082</v>
      </c>
      <c r="H197" s="38" t="str">
        <f>"odsetki do 2028-10-31"</f>
        <v>odsetki do 2028-10-31</v>
      </c>
      <c r="I197" s="64"/>
      <c r="J197" s="41">
        <v>47036</v>
      </c>
      <c r="L197" s="43"/>
    </row>
    <row r="198" spans="2:12" ht="12" customHeight="1">
      <c r="B198" s="34" t="s">
        <v>123</v>
      </c>
      <c r="C198" s="35">
        <v>47087</v>
      </c>
      <c r="D198" s="48"/>
      <c r="E198" s="36">
        <f t="shared" si="5"/>
        <v>2120000</v>
      </c>
      <c r="F198" s="35">
        <v>47087</v>
      </c>
      <c r="G198" s="37">
        <f t="shared" si="6"/>
        <v>2857.6438356164385</v>
      </c>
      <c r="H198" s="38" t="str">
        <f>"odsetki do 2028-11-30"</f>
        <v>odsetki do 2028-11-30</v>
      </c>
      <c r="I198" s="64"/>
      <c r="J198" s="41"/>
      <c r="L198" s="43"/>
    </row>
    <row r="199" spans="2:10" ht="12" customHeight="1">
      <c r="B199" s="34" t="s">
        <v>124</v>
      </c>
      <c r="C199" s="35">
        <v>47118</v>
      </c>
      <c r="D199" s="48"/>
      <c r="E199" s="36">
        <f t="shared" si="5"/>
        <v>2120000</v>
      </c>
      <c r="F199" s="35">
        <v>47118</v>
      </c>
      <c r="G199" s="37">
        <f t="shared" si="6"/>
        <v>2952.8986301369864</v>
      </c>
      <c r="H199" s="38" t="str">
        <f>"odsetki do 2028-12-31"</f>
        <v>odsetki do 2028-12-31</v>
      </c>
      <c r="I199" s="64">
        <f>SUM(G197:G199)</f>
        <v>8937.550684931506</v>
      </c>
      <c r="J199" s="41"/>
    </row>
    <row r="200" spans="2:10" ht="12" customHeight="1">
      <c r="B200" s="34" t="s">
        <v>125</v>
      </c>
      <c r="C200" s="35">
        <v>47128</v>
      </c>
      <c r="D200" s="48">
        <v>125000</v>
      </c>
      <c r="E200" s="36">
        <f t="shared" si="5"/>
        <v>1995000</v>
      </c>
      <c r="F200" s="35">
        <v>47149</v>
      </c>
      <c r="G200" s="37">
        <f t="shared" si="6"/>
        <v>2952.8986301369864</v>
      </c>
      <c r="H200" s="38" t="str">
        <f>"odsetki do 2029-01-31"</f>
        <v>odsetki do 2029-01-31</v>
      </c>
      <c r="I200" s="64"/>
      <c r="J200" s="41">
        <v>47128</v>
      </c>
    </row>
    <row r="201" spans="2:12" ht="12" customHeight="1">
      <c r="B201" s="34" t="s">
        <v>126</v>
      </c>
      <c r="C201" s="35">
        <v>47177</v>
      </c>
      <c r="D201" s="48"/>
      <c r="E201" s="36">
        <f t="shared" si="5"/>
        <v>1995000</v>
      </c>
      <c r="F201" s="35">
        <v>47177</v>
      </c>
      <c r="G201" s="37">
        <f t="shared" si="6"/>
        <v>2509.87397260274</v>
      </c>
      <c r="H201" s="38" t="str">
        <f>"odsetki do 2029-02-28"</f>
        <v>odsetki do 2029-02-28</v>
      </c>
      <c r="I201" s="64"/>
      <c r="J201" s="41"/>
      <c r="L201" s="43"/>
    </row>
    <row r="202" spans="2:12" ht="12" customHeight="1">
      <c r="B202" s="34" t="s">
        <v>127</v>
      </c>
      <c r="C202" s="35">
        <v>47208</v>
      </c>
      <c r="D202" s="48"/>
      <c r="E202" s="36">
        <f t="shared" si="5"/>
        <v>1995000</v>
      </c>
      <c r="F202" s="35">
        <v>47208</v>
      </c>
      <c r="G202" s="37">
        <f t="shared" si="6"/>
        <v>2778.7890410958908</v>
      </c>
      <c r="H202" s="38" t="str">
        <f>"odsetki do 2029-03-31"</f>
        <v>odsetki do 2029-03-31</v>
      </c>
      <c r="I202" s="64">
        <f>SUM(G200:G202)</f>
        <v>8241.561643835617</v>
      </c>
      <c r="J202" s="41"/>
      <c r="L202" s="43"/>
    </row>
    <row r="203" spans="2:10" ht="12" customHeight="1">
      <c r="B203" s="34" t="s">
        <v>128</v>
      </c>
      <c r="C203" s="35">
        <v>47218</v>
      </c>
      <c r="D203" s="48">
        <v>125000</v>
      </c>
      <c r="E203" s="36">
        <f t="shared" si="5"/>
        <v>1870000</v>
      </c>
      <c r="F203" s="35">
        <v>47238</v>
      </c>
      <c r="G203" s="37">
        <f t="shared" si="6"/>
        <v>2689.1506849315074</v>
      </c>
      <c r="H203" s="38" t="str">
        <f>"odsetki do 2029-04-30"</f>
        <v>odsetki do 2029-04-30</v>
      </c>
      <c r="I203" s="64"/>
      <c r="J203" s="41">
        <v>47218</v>
      </c>
    </row>
    <row r="204" spans="2:10" ht="12" customHeight="1">
      <c r="B204" s="34" t="s">
        <v>129</v>
      </c>
      <c r="C204" s="35">
        <v>47269</v>
      </c>
      <c r="D204" s="48"/>
      <c r="E204" s="36">
        <f t="shared" si="5"/>
        <v>1870000</v>
      </c>
      <c r="F204" s="35">
        <v>47269</v>
      </c>
      <c r="G204" s="37">
        <f t="shared" si="6"/>
        <v>2604.6794520547946</v>
      </c>
      <c r="H204" s="38" t="str">
        <f>"odsetki do 2029-05-31"</f>
        <v>odsetki do 2029-05-31</v>
      </c>
      <c r="I204" s="64"/>
      <c r="J204" s="41"/>
    </row>
    <row r="205" spans="2:12" ht="12" customHeight="1">
      <c r="B205" s="34" t="s">
        <v>130</v>
      </c>
      <c r="C205" s="35">
        <v>47299</v>
      </c>
      <c r="D205" s="48"/>
      <c r="E205" s="36">
        <f t="shared" si="5"/>
        <v>1870000</v>
      </c>
      <c r="F205" s="35">
        <v>47299</v>
      </c>
      <c r="G205" s="37">
        <f t="shared" si="6"/>
        <v>2520.657534246576</v>
      </c>
      <c r="H205" s="38" t="str">
        <f>"odsetki do 2029-06-30"</f>
        <v>odsetki do 2029-06-30</v>
      </c>
      <c r="I205" s="64">
        <f>SUM(G203:G205)</f>
        <v>7814.487671232878</v>
      </c>
      <c r="J205" s="41"/>
      <c r="L205" s="43"/>
    </row>
    <row r="206" spans="2:12" ht="12" customHeight="1">
      <c r="B206" s="34" t="s">
        <v>131</v>
      </c>
      <c r="C206" s="35">
        <v>47309</v>
      </c>
      <c r="D206" s="48">
        <v>125000</v>
      </c>
      <c r="E206" s="36">
        <f t="shared" si="5"/>
        <v>1745000</v>
      </c>
      <c r="F206" s="35">
        <v>47330</v>
      </c>
      <c r="G206" s="37">
        <f t="shared" si="6"/>
        <v>2604.6794520547946</v>
      </c>
      <c r="H206" s="38" t="str">
        <f>"odsetki do 2029-07-31"</f>
        <v>odsetki do 2029-07-31</v>
      </c>
      <c r="I206" s="64"/>
      <c r="J206" s="41">
        <v>47309</v>
      </c>
      <c r="L206" s="43"/>
    </row>
    <row r="207" spans="2:10" ht="12" customHeight="1">
      <c r="B207" s="34" t="s">
        <v>132</v>
      </c>
      <c r="C207" s="35">
        <v>47361</v>
      </c>
      <c r="D207" s="48"/>
      <c r="E207" s="36">
        <f t="shared" si="5"/>
        <v>1745000</v>
      </c>
      <c r="F207" s="35">
        <v>47361</v>
      </c>
      <c r="G207" s="37">
        <f t="shared" si="6"/>
        <v>2430.569863013699</v>
      </c>
      <c r="H207" s="38" t="str">
        <f>"odsetki do 2029-08-31"</f>
        <v>odsetki do 2029-08-31</v>
      </c>
      <c r="I207" s="64"/>
      <c r="J207" s="41"/>
    </row>
    <row r="208" spans="2:10" ht="12" customHeight="1">
      <c r="B208" s="34" t="s">
        <v>133</v>
      </c>
      <c r="C208" s="35">
        <v>47391</v>
      </c>
      <c r="D208" s="48"/>
      <c r="E208" s="36">
        <f t="shared" si="5"/>
        <v>1745000</v>
      </c>
      <c r="F208" s="35">
        <v>47391</v>
      </c>
      <c r="G208" s="37">
        <f t="shared" si="6"/>
        <v>2352.164383561644</v>
      </c>
      <c r="H208" s="38" t="str">
        <f>"odsetki do 2029-09-30"</f>
        <v>odsetki do 2029-09-30</v>
      </c>
      <c r="I208" s="64">
        <f>SUM(G206:G208)</f>
        <v>7387.413698630137</v>
      </c>
      <c r="J208" s="41"/>
    </row>
    <row r="209" spans="2:12" ht="12" customHeight="1">
      <c r="B209" s="34" t="s">
        <v>134</v>
      </c>
      <c r="C209" s="35">
        <v>47401</v>
      </c>
      <c r="D209" s="48">
        <v>125000</v>
      </c>
      <c r="E209" s="36">
        <f t="shared" si="5"/>
        <v>1620000</v>
      </c>
      <c r="F209" s="35">
        <v>47422</v>
      </c>
      <c r="G209" s="37">
        <f t="shared" si="6"/>
        <v>2430.569863013699</v>
      </c>
      <c r="H209" s="38" t="str">
        <f>"odsetki do 2029-10-31"</f>
        <v>odsetki do 2029-10-31</v>
      </c>
      <c r="I209" s="64"/>
      <c r="J209" s="41">
        <v>47401</v>
      </c>
      <c r="L209" s="43"/>
    </row>
    <row r="210" spans="2:12" ht="12" customHeight="1">
      <c r="B210" s="34" t="s">
        <v>146</v>
      </c>
      <c r="C210" s="35">
        <v>47452</v>
      </c>
      <c r="D210" s="48"/>
      <c r="E210" s="36">
        <f t="shared" si="5"/>
        <v>1620000</v>
      </c>
      <c r="F210" s="35">
        <v>47452</v>
      </c>
      <c r="G210" s="37">
        <f t="shared" si="6"/>
        <v>2183.6712328767126</v>
      </c>
      <c r="H210" s="38" t="str">
        <f>"odsetki do 2029-11-30"</f>
        <v>odsetki do 2029-11-30</v>
      </c>
      <c r="I210" s="64"/>
      <c r="J210" s="41"/>
      <c r="L210" s="43"/>
    </row>
    <row r="211" spans="2:10" ht="12" customHeight="1">
      <c r="B211" s="34" t="s">
        <v>147</v>
      </c>
      <c r="C211" s="35">
        <v>47483</v>
      </c>
      <c r="D211" s="48"/>
      <c r="E211" s="36">
        <f t="shared" si="5"/>
        <v>1620000</v>
      </c>
      <c r="F211" s="35">
        <v>47483</v>
      </c>
      <c r="G211" s="37">
        <f t="shared" si="6"/>
        <v>2256.460273972603</v>
      </c>
      <c r="H211" s="38" t="str">
        <f>"odsetki do 2029-12-31"</f>
        <v>odsetki do 2029-12-31</v>
      </c>
      <c r="I211" s="64">
        <f>SUM(G209:G211)</f>
        <v>6870.701369863014</v>
      </c>
      <c r="J211" s="41"/>
    </row>
    <row r="212" spans="2:12" ht="12" customHeight="1">
      <c r="B212" s="34" t="s">
        <v>148</v>
      </c>
      <c r="C212" s="35">
        <v>47493</v>
      </c>
      <c r="D212" s="48">
        <v>125000</v>
      </c>
      <c r="E212" s="36">
        <f t="shared" si="5"/>
        <v>1495000</v>
      </c>
      <c r="F212" s="35">
        <v>47514</v>
      </c>
      <c r="G212" s="37">
        <f t="shared" si="6"/>
        <v>2256.460273972603</v>
      </c>
      <c r="H212" s="38" t="str">
        <f>"odsetki do 2030-01-31"</f>
        <v>odsetki do 2030-01-31</v>
      </c>
      <c r="I212" s="64"/>
      <c r="J212" s="41">
        <v>47493</v>
      </c>
      <c r="L212" s="43"/>
    </row>
    <row r="213" spans="2:10" ht="12" customHeight="1">
      <c r="B213" s="34" t="s">
        <v>149</v>
      </c>
      <c r="C213" s="35">
        <v>47542</v>
      </c>
      <c r="D213" s="48"/>
      <c r="E213" s="36">
        <f t="shared" si="5"/>
        <v>1495000</v>
      </c>
      <c r="F213" s="35">
        <v>47542</v>
      </c>
      <c r="G213" s="37">
        <f t="shared" si="6"/>
        <v>1880.8328767123292</v>
      </c>
      <c r="H213" s="38" t="str">
        <f>"odsetki do 2030-02-28"</f>
        <v>odsetki do 2030-02-28</v>
      </c>
      <c r="I213" s="64"/>
      <c r="J213" s="41"/>
    </row>
    <row r="214" spans="2:10" ht="12" customHeight="1">
      <c r="B214" s="34" t="s">
        <v>150</v>
      </c>
      <c r="C214" s="35">
        <v>47573</v>
      </c>
      <c r="D214" s="48"/>
      <c r="E214" s="36">
        <f t="shared" si="5"/>
        <v>1495000</v>
      </c>
      <c r="F214" s="35">
        <v>47573</v>
      </c>
      <c r="G214" s="37">
        <f t="shared" si="6"/>
        <v>2082.350684931507</v>
      </c>
      <c r="H214" s="38" t="str">
        <f>"odsetki do 2030-03-31"</f>
        <v>odsetki do 2030-03-31</v>
      </c>
      <c r="I214" s="64">
        <f>SUM(G212:G214)</f>
        <v>6219.643835616439</v>
      </c>
      <c r="J214" s="41"/>
    </row>
    <row r="215" spans="2:10" ht="12" customHeight="1">
      <c r="B215" s="34" t="s">
        <v>151</v>
      </c>
      <c r="C215" s="35">
        <v>47583</v>
      </c>
      <c r="D215" s="48">
        <v>125000</v>
      </c>
      <c r="E215" s="36">
        <f t="shared" si="5"/>
        <v>1370000</v>
      </c>
      <c r="F215" s="35">
        <v>47603</v>
      </c>
      <c r="G215" s="37">
        <f t="shared" si="6"/>
        <v>2015.1780821917812</v>
      </c>
      <c r="H215" s="38" t="str">
        <f>"odsetki do 2030-04-30"</f>
        <v>odsetki do 2030-04-30</v>
      </c>
      <c r="I215" s="64"/>
      <c r="J215" s="41">
        <v>47583</v>
      </c>
    </row>
    <row r="216" spans="2:10" ht="12" customHeight="1">
      <c r="B216" s="34" t="s">
        <v>152</v>
      </c>
      <c r="C216" s="35">
        <v>47634</v>
      </c>
      <c r="D216" s="48"/>
      <c r="E216" s="36">
        <f t="shared" si="5"/>
        <v>1370000</v>
      </c>
      <c r="F216" s="35">
        <v>47634</v>
      </c>
      <c r="G216" s="37">
        <f t="shared" si="6"/>
        <v>1908.2410958904113</v>
      </c>
      <c r="H216" s="38" t="str">
        <f>"odsetki do 2030-05-31"</f>
        <v>odsetki do 2030-05-31</v>
      </c>
      <c r="I216" s="64"/>
      <c r="J216" s="41"/>
    </row>
    <row r="217" spans="2:10" ht="12" customHeight="1">
      <c r="B217" s="34" t="s">
        <v>153</v>
      </c>
      <c r="C217" s="35">
        <v>47664</v>
      </c>
      <c r="D217" s="48"/>
      <c r="E217" s="36">
        <f t="shared" si="5"/>
        <v>1370000</v>
      </c>
      <c r="F217" s="35">
        <v>47664</v>
      </c>
      <c r="G217" s="37">
        <f t="shared" si="6"/>
        <v>1846.6849315068496</v>
      </c>
      <c r="H217" s="38" t="str">
        <f>"odsetki do 2030-06-30"</f>
        <v>odsetki do 2030-06-30</v>
      </c>
      <c r="I217" s="64">
        <f>SUM(G215:G217)</f>
        <v>5770.104109589042</v>
      </c>
      <c r="J217" s="41"/>
    </row>
    <row r="218" spans="2:10" ht="12" customHeight="1">
      <c r="B218" s="34" t="s">
        <v>154</v>
      </c>
      <c r="C218" s="35">
        <v>47674</v>
      </c>
      <c r="D218" s="48">
        <v>125000</v>
      </c>
      <c r="E218" s="36">
        <f t="shared" si="5"/>
        <v>1245000</v>
      </c>
      <c r="F218" s="35">
        <v>47695</v>
      </c>
      <c r="G218" s="37">
        <f t="shared" si="6"/>
        <v>1908.2410958904113</v>
      </c>
      <c r="H218" s="38" t="str">
        <f>"odsetki do 2030-07-31"</f>
        <v>odsetki do 2030-07-31</v>
      </c>
      <c r="I218" s="64"/>
      <c r="J218" s="41">
        <v>47674</v>
      </c>
    </row>
    <row r="219" spans="2:10" ht="12" customHeight="1">
      <c r="B219" s="34" t="s">
        <v>155</v>
      </c>
      <c r="C219" s="35">
        <v>47726</v>
      </c>
      <c r="D219" s="48"/>
      <c r="E219" s="36">
        <f t="shared" si="5"/>
        <v>1245000</v>
      </c>
      <c r="F219" s="35">
        <v>47726</v>
      </c>
      <c r="G219" s="37">
        <f t="shared" si="6"/>
        <v>1734.131506849315</v>
      </c>
      <c r="H219" s="38" t="str">
        <f>"odsetki do 2030-08-31"</f>
        <v>odsetki do 2030-08-31</v>
      </c>
      <c r="I219" s="64"/>
      <c r="J219" s="41"/>
    </row>
    <row r="220" spans="2:10" ht="12" customHeight="1">
      <c r="B220" s="34" t="s">
        <v>156</v>
      </c>
      <c r="C220" s="35">
        <v>47756</v>
      </c>
      <c r="D220" s="48"/>
      <c r="E220" s="36">
        <f t="shared" si="5"/>
        <v>1245000</v>
      </c>
      <c r="F220" s="35">
        <v>47756</v>
      </c>
      <c r="G220" s="37">
        <f t="shared" si="6"/>
        <v>1678.1917808219177</v>
      </c>
      <c r="H220" s="38" t="str">
        <f>"odsetki do 2030-09-30"</f>
        <v>odsetki do 2030-09-30</v>
      </c>
      <c r="I220" s="64">
        <f>SUM(G218:G220)</f>
        <v>5320.564383561644</v>
      </c>
      <c r="J220" s="41"/>
    </row>
    <row r="221" spans="2:10" ht="12" customHeight="1">
      <c r="B221" s="34" t="s">
        <v>157</v>
      </c>
      <c r="C221" s="35">
        <v>47766</v>
      </c>
      <c r="D221" s="48">
        <v>125000</v>
      </c>
      <c r="E221" s="36">
        <f t="shared" si="5"/>
        <v>1120000</v>
      </c>
      <c r="F221" s="35">
        <v>47787</v>
      </c>
      <c r="G221" s="37">
        <f t="shared" si="6"/>
        <v>1734.131506849315</v>
      </c>
      <c r="H221" s="38" t="str">
        <f>"odsetki do 2030-10-31"</f>
        <v>odsetki do 2030-10-31</v>
      </c>
      <c r="I221" s="64"/>
      <c r="J221" s="41">
        <v>47766</v>
      </c>
    </row>
    <row r="222" spans="2:10" ht="12" customHeight="1">
      <c r="B222" s="34" t="s">
        <v>158</v>
      </c>
      <c r="C222" s="35">
        <v>47817</v>
      </c>
      <c r="D222" s="48"/>
      <c r="E222" s="36">
        <f t="shared" si="5"/>
        <v>1120000</v>
      </c>
      <c r="F222" s="35">
        <v>47817</v>
      </c>
      <c r="G222" s="37">
        <f t="shared" si="6"/>
        <v>1509.6986301369864</v>
      </c>
      <c r="H222" s="38" t="str">
        <f>"odsetki do 2030-11-30"</f>
        <v>odsetki do 2030-11-30</v>
      </c>
      <c r="I222" s="64"/>
      <c r="J222" s="41"/>
    </row>
    <row r="223" spans="2:10" ht="12" customHeight="1">
      <c r="B223" s="34" t="s">
        <v>159</v>
      </c>
      <c r="C223" s="35">
        <v>47848</v>
      </c>
      <c r="D223" s="48"/>
      <c r="E223" s="36">
        <f t="shared" si="5"/>
        <v>1120000</v>
      </c>
      <c r="F223" s="35">
        <v>47848</v>
      </c>
      <c r="G223" s="37">
        <f t="shared" si="6"/>
        <v>1560.021917808219</v>
      </c>
      <c r="H223" s="38" t="str">
        <f>"odsetki do 2030-12-31"</f>
        <v>odsetki do 2030-12-31</v>
      </c>
      <c r="I223" s="64">
        <f>SUM(G221:G223)</f>
        <v>4803.85205479452</v>
      </c>
      <c r="J223" s="41"/>
    </row>
    <row r="224" spans="2:10" ht="12" customHeight="1">
      <c r="B224" s="34" t="s">
        <v>160</v>
      </c>
      <c r="C224" s="35">
        <v>47858</v>
      </c>
      <c r="D224" s="48">
        <v>125000</v>
      </c>
      <c r="E224" s="36">
        <f t="shared" si="5"/>
        <v>995000</v>
      </c>
      <c r="F224" s="35">
        <v>47879</v>
      </c>
      <c r="G224" s="37">
        <f t="shared" si="6"/>
        <v>1560.021917808219</v>
      </c>
      <c r="H224" s="38" t="str">
        <f>"odsetki do 2031-01-31"</f>
        <v>odsetki do 2031-01-31</v>
      </c>
      <c r="I224" s="64"/>
      <c r="J224" s="41">
        <v>47858</v>
      </c>
    </row>
    <row r="225" spans="2:10" ht="12" customHeight="1">
      <c r="B225" s="34" t="s">
        <v>161</v>
      </c>
      <c r="C225" s="35">
        <v>47907</v>
      </c>
      <c r="D225" s="48"/>
      <c r="E225" s="36">
        <f t="shared" si="5"/>
        <v>995000</v>
      </c>
      <c r="F225" s="35">
        <v>47907</v>
      </c>
      <c r="G225" s="37">
        <f t="shared" si="6"/>
        <v>1251.7917808219179</v>
      </c>
      <c r="H225" s="38" t="str">
        <f>"odsetki do 2031-02-28"</f>
        <v>odsetki do 2031-02-28</v>
      </c>
      <c r="I225" s="64"/>
      <c r="J225" s="41"/>
    </row>
    <row r="226" spans="2:10" ht="12" customHeight="1">
      <c r="B226" s="34" t="s">
        <v>162</v>
      </c>
      <c r="C226" s="35">
        <v>47938</v>
      </c>
      <c r="D226" s="48"/>
      <c r="E226" s="36">
        <f t="shared" si="5"/>
        <v>995000</v>
      </c>
      <c r="F226" s="35">
        <v>47938</v>
      </c>
      <c r="G226" s="37">
        <f t="shared" si="6"/>
        <v>1385.9123287671234</v>
      </c>
      <c r="H226" s="38" t="str">
        <f>"odsetki do 2031-03-31"</f>
        <v>odsetki do 2031-03-31</v>
      </c>
      <c r="I226" s="64">
        <f>SUM(G224:G226)</f>
        <v>4197.726027397261</v>
      </c>
      <c r="J226" s="41"/>
    </row>
    <row r="227" spans="2:10" ht="12" customHeight="1">
      <c r="B227" s="34" t="s">
        <v>163</v>
      </c>
      <c r="C227" s="35">
        <v>47948</v>
      </c>
      <c r="D227" s="48">
        <v>125000</v>
      </c>
      <c r="E227" s="36">
        <f t="shared" si="5"/>
        <v>870000</v>
      </c>
      <c r="F227" s="35">
        <v>47968</v>
      </c>
      <c r="G227" s="37">
        <f t="shared" si="6"/>
        <v>1341.205479452055</v>
      </c>
      <c r="H227" s="38" t="str">
        <f>"odsetki do 2031-04-30"</f>
        <v>odsetki do 2031-04-30</v>
      </c>
      <c r="I227" s="64"/>
      <c r="J227" s="41">
        <v>47948</v>
      </c>
    </row>
    <row r="228" spans="2:10" ht="12" customHeight="1">
      <c r="B228" s="34" t="s">
        <v>164</v>
      </c>
      <c r="C228" s="35">
        <v>47999</v>
      </c>
      <c r="D228" s="48"/>
      <c r="E228" s="36">
        <f t="shared" si="5"/>
        <v>870000</v>
      </c>
      <c r="F228" s="35">
        <v>47999</v>
      </c>
      <c r="G228" s="37">
        <f t="shared" si="6"/>
        <v>1211.8027397260275</v>
      </c>
      <c r="H228" s="38" t="str">
        <f>"odsetki do 2031-05-31"</f>
        <v>odsetki do 2031-05-31</v>
      </c>
      <c r="I228" s="64"/>
      <c r="J228" s="41"/>
    </row>
    <row r="229" spans="2:10" ht="12" customHeight="1">
      <c r="B229" s="34" t="s">
        <v>165</v>
      </c>
      <c r="C229" s="35">
        <v>48029</v>
      </c>
      <c r="D229" s="48"/>
      <c r="E229" s="36">
        <f t="shared" si="5"/>
        <v>870000</v>
      </c>
      <c r="F229" s="35">
        <v>48029</v>
      </c>
      <c r="G229" s="37">
        <f t="shared" si="6"/>
        <v>1172.7123287671234</v>
      </c>
      <c r="H229" s="38" t="str">
        <f>"odsetki do 2031-06-30"</f>
        <v>odsetki do 2031-06-30</v>
      </c>
      <c r="I229" s="64">
        <f>SUM(G227:G229)</f>
        <v>3725.720547945206</v>
      </c>
      <c r="J229" s="41"/>
    </row>
    <row r="230" spans="2:10" ht="12" customHeight="1">
      <c r="B230" s="34" t="s">
        <v>166</v>
      </c>
      <c r="C230" s="35">
        <v>48039</v>
      </c>
      <c r="D230" s="48">
        <v>125000</v>
      </c>
      <c r="E230" s="36">
        <f t="shared" si="5"/>
        <v>745000</v>
      </c>
      <c r="F230" s="35">
        <v>48060</v>
      </c>
      <c r="G230" s="37">
        <f t="shared" si="6"/>
        <v>1211.8027397260275</v>
      </c>
      <c r="H230" s="38" t="str">
        <f>"odsetki do 2031-07-31"</f>
        <v>odsetki do 2031-07-31</v>
      </c>
      <c r="I230" s="64"/>
      <c r="J230" s="41">
        <v>48039</v>
      </c>
    </row>
    <row r="231" spans="2:10" ht="12" customHeight="1">
      <c r="B231" s="34" t="s">
        <v>167</v>
      </c>
      <c r="C231" s="35">
        <v>48091</v>
      </c>
      <c r="D231" s="48"/>
      <c r="E231" s="36">
        <f t="shared" si="5"/>
        <v>745000</v>
      </c>
      <c r="F231" s="35">
        <v>48091</v>
      </c>
      <c r="G231" s="37">
        <f t="shared" si="6"/>
        <v>1037.6931506849317</v>
      </c>
      <c r="H231" s="38" t="str">
        <f>"odsetki do 2031-08-31"</f>
        <v>odsetki do 2031-08-31</v>
      </c>
      <c r="I231" s="64"/>
      <c r="J231" s="41"/>
    </row>
    <row r="232" spans="2:10" ht="12" customHeight="1">
      <c r="B232" s="34" t="s">
        <v>168</v>
      </c>
      <c r="C232" s="35">
        <v>48121</v>
      </c>
      <c r="D232" s="48"/>
      <c r="E232" s="36">
        <f aca="true" t="shared" si="7" ref="E232:E246">E231-D232</f>
        <v>745000</v>
      </c>
      <c r="F232" s="35">
        <v>48121</v>
      </c>
      <c r="G232" s="37">
        <f t="shared" si="6"/>
        <v>1004.2191780821919</v>
      </c>
      <c r="H232" s="38" t="str">
        <f>"odsetki do 2031-09-30"</f>
        <v>odsetki do 2031-09-30</v>
      </c>
      <c r="I232" s="64">
        <f>SUM(G230:G232)</f>
        <v>3253.7150684931507</v>
      </c>
      <c r="J232" s="41"/>
    </row>
    <row r="233" spans="2:10" ht="12" customHeight="1">
      <c r="B233" s="34" t="s">
        <v>169</v>
      </c>
      <c r="C233" s="35">
        <v>48131</v>
      </c>
      <c r="D233" s="48">
        <v>125000</v>
      </c>
      <c r="E233" s="36">
        <f t="shared" si="7"/>
        <v>620000</v>
      </c>
      <c r="F233" s="35">
        <v>48152</v>
      </c>
      <c r="G233" s="37">
        <f t="shared" si="6"/>
        <v>1037.6931506849317</v>
      </c>
      <c r="H233" s="38" t="str">
        <f>"odsetki do 2031-10-31"</f>
        <v>odsetki do 2031-10-31</v>
      </c>
      <c r="I233" s="64"/>
      <c r="J233" s="41">
        <v>48131</v>
      </c>
    </row>
    <row r="234" spans="2:10" ht="12" customHeight="1">
      <c r="B234" s="34" t="s">
        <v>170</v>
      </c>
      <c r="C234" s="35">
        <v>48182</v>
      </c>
      <c r="D234" s="48"/>
      <c r="E234" s="36">
        <f t="shared" si="7"/>
        <v>620000</v>
      </c>
      <c r="F234" s="35">
        <v>48182</v>
      </c>
      <c r="G234" s="37">
        <f t="shared" si="6"/>
        <v>835.7260273972603</v>
      </c>
      <c r="H234" s="38" t="str">
        <f>"odsetki do 2031-11-30"</f>
        <v>odsetki do 2031-11-30</v>
      </c>
      <c r="I234" s="64"/>
      <c r="J234" s="41"/>
    </row>
    <row r="235" spans="2:10" ht="12" customHeight="1">
      <c r="B235" s="34" t="s">
        <v>171</v>
      </c>
      <c r="C235" s="35">
        <v>48213</v>
      </c>
      <c r="D235" s="48"/>
      <c r="E235" s="36">
        <f t="shared" si="7"/>
        <v>620000</v>
      </c>
      <c r="F235" s="35">
        <v>48213</v>
      </c>
      <c r="G235" s="37">
        <f t="shared" si="6"/>
        <v>863.5835616438357</v>
      </c>
      <c r="H235" s="38" t="str">
        <f>"odsetki do 2031-12-31"</f>
        <v>odsetki do 2031-12-31</v>
      </c>
      <c r="I235" s="64">
        <f>SUM(G233:G235)</f>
        <v>2737.002739726028</v>
      </c>
      <c r="J235" s="41"/>
    </row>
    <row r="236" spans="2:10" ht="12" customHeight="1">
      <c r="B236" s="34" t="s">
        <v>172</v>
      </c>
      <c r="C236" s="35">
        <v>48223</v>
      </c>
      <c r="D236" s="48">
        <v>125000</v>
      </c>
      <c r="E236" s="36">
        <f t="shared" si="7"/>
        <v>495000</v>
      </c>
      <c r="F236" s="35">
        <v>48244</v>
      </c>
      <c r="G236" s="37">
        <f t="shared" si="6"/>
        <v>863.5835616438357</v>
      </c>
      <c r="H236" s="38" t="str">
        <f>"odsetki do 2032-01-31"</f>
        <v>odsetki do 2032-01-31</v>
      </c>
      <c r="I236" s="64"/>
      <c r="J236" s="41">
        <v>48223</v>
      </c>
    </row>
    <row r="237" spans="2:10" ht="12" customHeight="1">
      <c r="B237" s="34" t="s">
        <v>173</v>
      </c>
      <c r="C237" s="35">
        <v>48273</v>
      </c>
      <c r="D237" s="48"/>
      <c r="E237" s="36">
        <f t="shared" si="7"/>
        <v>495000</v>
      </c>
      <c r="F237" s="35">
        <v>48273</v>
      </c>
      <c r="G237" s="37">
        <f t="shared" si="6"/>
        <v>644.9917808219179</v>
      </c>
      <c r="H237" s="38" t="str">
        <f>"odsetki do 2032-02-29"</f>
        <v>odsetki do 2032-02-29</v>
      </c>
      <c r="I237" s="64"/>
      <c r="J237" s="41"/>
    </row>
    <row r="238" spans="2:10" ht="12" customHeight="1">
      <c r="B238" s="34" t="s">
        <v>174</v>
      </c>
      <c r="C238" s="35">
        <v>48304</v>
      </c>
      <c r="D238" s="48"/>
      <c r="E238" s="36">
        <f t="shared" si="7"/>
        <v>495000</v>
      </c>
      <c r="F238" s="35">
        <v>48304</v>
      </c>
      <c r="G238" s="37">
        <f t="shared" si="6"/>
        <v>689.4739726027398</v>
      </c>
      <c r="H238" s="38" t="str">
        <f>"odsetki do 2032-03-31"</f>
        <v>odsetki do 2032-03-31</v>
      </c>
      <c r="I238" s="64">
        <f>SUM(G236:G238)</f>
        <v>2198.0493150684933</v>
      </c>
      <c r="J238" s="41"/>
    </row>
    <row r="239" spans="2:10" ht="12" customHeight="1">
      <c r="B239" s="34" t="s">
        <v>175</v>
      </c>
      <c r="C239" s="35">
        <v>48314</v>
      </c>
      <c r="D239" s="48">
        <v>125000</v>
      </c>
      <c r="E239" s="36">
        <f t="shared" si="7"/>
        <v>370000</v>
      </c>
      <c r="F239" s="35">
        <v>48334</v>
      </c>
      <c r="G239" s="37">
        <f t="shared" si="6"/>
        <v>667.2328767123289</v>
      </c>
      <c r="H239" s="38" t="str">
        <f>"odsetki do 2032-04-30"</f>
        <v>odsetki do 2032-04-30</v>
      </c>
      <c r="I239" s="64"/>
      <c r="J239" s="41">
        <v>48314</v>
      </c>
    </row>
    <row r="240" spans="2:10" ht="12" customHeight="1">
      <c r="B240" s="34" t="s">
        <v>176</v>
      </c>
      <c r="C240" s="35">
        <v>48365</v>
      </c>
      <c r="D240" s="48"/>
      <c r="E240" s="36">
        <f t="shared" si="7"/>
        <v>370000</v>
      </c>
      <c r="F240" s="35">
        <v>48365</v>
      </c>
      <c r="G240" s="37">
        <f t="shared" si="6"/>
        <v>515.3643835616439</v>
      </c>
      <c r="H240" s="38" t="str">
        <f>"odsetki do 2032-05-31"</f>
        <v>odsetki do 2032-05-31</v>
      </c>
      <c r="I240" s="64"/>
      <c r="J240" s="41"/>
    </row>
    <row r="241" spans="2:10" ht="12" customHeight="1">
      <c r="B241" s="34" t="s">
        <v>177</v>
      </c>
      <c r="C241" s="35">
        <v>48395</v>
      </c>
      <c r="D241" s="48"/>
      <c r="E241" s="36">
        <f t="shared" si="7"/>
        <v>370000</v>
      </c>
      <c r="F241" s="35">
        <v>48395</v>
      </c>
      <c r="G241" s="37">
        <f t="shared" si="6"/>
        <v>498.73972602739735</v>
      </c>
      <c r="H241" s="38" t="str">
        <f>"odsetki do 2032-06-30"</f>
        <v>odsetki do 2032-06-30</v>
      </c>
      <c r="I241" s="64">
        <f>SUM(G239:G241)</f>
        <v>1681.3369863013702</v>
      </c>
      <c r="J241" s="41"/>
    </row>
    <row r="242" spans="2:10" ht="12" customHeight="1">
      <c r="B242" s="34" t="s">
        <v>178</v>
      </c>
      <c r="C242" s="35">
        <v>48405</v>
      </c>
      <c r="D242" s="48">
        <v>125000</v>
      </c>
      <c r="E242" s="36">
        <f t="shared" si="7"/>
        <v>245000</v>
      </c>
      <c r="F242" s="35">
        <v>48426</v>
      </c>
      <c r="G242" s="37">
        <f t="shared" si="6"/>
        <v>515.3643835616439</v>
      </c>
      <c r="H242" s="38" t="str">
        <f>"odsetki do 2032-07-31"</f>
        <v>odsetki do 2032-07-31</v>
      </c>
      <c r="I242" s="64"/>
      <c r="J242" s="41">
        <v>48405</v>
      </c>
    </row>
    <row r="243" spans="2:10" ht="12" customHeight="1">
      <c r="B243" s="34" t="s">
        <v>179</v>
      </c>
      <c r="C243" s="35">
        <v>48457</v>
      </c>
      <c r="D243" s="48"/>
      <c r="E243" s="36">
        <f t="shared" si="7"/>
        <v>245000</v>
      </c>
      <c r="F243" s="35">
        <v>48457</v>
      </c>
      <c r="G243" s="37">
        <f t="shared" si="6"/>
        <v>341.254794520548</v>
      </c>
      <c r="H243" s="38" t="str">
        <f>"odsetki do 2032-08-31"</f>
        <v>odsetki do 2032-08-31</v>
      </c>
      <c r="I243" s="64"/>
      <c r="J243" s="41"/>
    </row>
    <row r="244" spans="2:10" ht="12" customHeight="1">
      <c r="B244" s="34" t="s">
        <v>180</v>
      </c>
      <c r="C244" s="35">
        <v>48487</v>
      </c>
      <c r="D244" s="48"/>
      <c r="E244" s="36">
        <f t="shared" si="7"/>
        <v>245000</v>
      </c>
      <c r="F244" s="35">
        <v>48487</v>
      </c>
      <c r="G244" s="37">
        <f t="shared" si="6"/>
        <v>330.2465753424658</v>
      </c>
      <c r="H244" s="38" t="str">
        <f>"odsetki do 2032-09-30"</f>
        <v>odsetki do 2032-09-30</v>
      </c>
      <c r="I244" s="64">
        <f>SUM(G242:G244)</f>
        <v>1186.8657534246577</v>
      </c>
      <c r="J244" s="41"/>
    </row>
    <row r="245" spans="2:10" ht="12" customHeight="1">
      <c r="B245" s="34" t="s">
        <v>181</v>
      </c>
      <c r="C245" s="35">
        <v>48497</v>
      </c>
      <c r="D245" s="48">
        <v>245000</v>
      </c>
      <c r="E245" s="36">
        <f t="shared" si="7"/>
        <v>0</v>
      </c>
      <c r="F245" s="35">
        <v>48497</v>
      </c>
      <c r="G245" s="37">
        <f t="shared" si="6"/>
        <v>110.08219178082194</v>
      </c>
      <c r="H245" s="38" t="str">
        <f>"odsetki do 2032-10-10"</f>
        <v>odsetki do 2032-10-10</v>
      </c>
      <c r="I245" s="65"/>
      <c r="J245" s="41">
        <v>48497</v>
      </c>
    </row>
    <row r="246" spans="2:10" ht="12" customHeight="1">
      <c r="B246" s="34"/>
      <c r="C246" s="35"/>
      <c r="D246" s="48"/>
      <c r="E246" s="36">
        <f t="shared" si="7"/>
        <v>0</v>
      </c>
      <c r="F246" s="35"/>
      <c r="G246" s="37">
        <f t="shared" si="6"/>
        <v>0</v>
      </c>
      <c r="H246" s="38"/>
      <c r="I246" s="64">
        <f>G245</f>
        <v>110.08219178082194</v>
      </c>
      <c r="J246" s="41">
        <v>48528</v>
      </c>
    </row>
    <row r="247" spans="2:10" ht="12" customHeight="1">
      <c r="B247" s="34"/>
      <c r="C247" s="35"/>
      <c r="D247" s="48"/>
      <c r="E247" s="48"/>
      <c r="F247" s="35"/>
      <c r="G247" s="37"/>
      <c r="H247" s="38"/>
      <c r="I247" s="64"/>
      <c r="J247" s="49"/>
    </row>
    <row r="248" spans="2:12" ht="12.75" customHeight="1">
      <c r="B248" s="75" t="s">
        <v>135</v>
      </c>
      <c r="C248" s="76"/>
      <c r="D248" s="76"/>
      <c r="E248" s="76"/>
      <c r="F248" s="77"/>
      <c r="G248" s="37">
        <f>SUM(G88:G246)</f>
        <v>672961.8684931509</v>
      </c>
      <c r="H248" s="50"/>
      <c r="I248" s="51">
        <f>SUM(I88:I246)</f>
        <v>672961.8684931506</v>
      </c>
      <c r="J248" s="52"/>
      <c r="L248" s="43"/>
    </row>
    <row r="249" spans="3:6" ht="12.75" customHeight="1" thickBot="1">
      <c r="C249" s="2"/>
      <c r="E249" s="53"/>
      <c r="F249" s="54"/>
    </row>
    <row r="250" spans="3:8" ht="16.5" customHeight="1" thickBot="1">
      <c r="C250" s="2"/>
      <c r="D250" s="55" t="s">
        <v>140</v>
      </c>
      <c r="E250" s="56"/>
      <c r="F250" s="57"/>
      <c r="G250" s="58">
        <f>G248+I19</f>
        <v>672961.8684931509</v>
      </c>
      <c r="H250" s="2"/>
    </row>
    <row r="251" spans="3:8" ht="12.75" customHeight="1">
      <c r="C251" s="2"/>
      <c r="D251" s="59"/>
      <c r="E251" s="12"/>
      <c r="F251" s="54"/>
      <c r="G251" s="2"/>
      <c r="H251" s="2"/>
    </row>
    <row r="252" spans="3:6" ht="12.75" customHeight="1">
      <c r="C252" s="60" t="s">
        <v>136</v>
      </c>
      <c r="F252" s="11"/>
    </row>
    <row r="253" spans="3:6" ht="12.75" customHeight="1">
      <c r="C253" s="61" t="s">
        <v>137</v>
      </c>
      <c r="F253" s="11"/>
    </row>
    <row r="254" spans="3:6" ht="12.75" customHeight="1">
      <c r="C254" s="61" t="s">
        <v>138</v>
      </c>
      <c r="F254" s="11"/>
    </row>
    <row r="255" spans="3:8" ht="12.75" customHeight="1">
      <c r="C255" s="2"/>
      <c r="E255" s="12"/>
      <c r="F255" s="54"/>
      <c r="G255" s="2"/>
      <c r="H255" s="2"/>
    </row>
    <row r="256" ht="12.75" customHeight="1">
      <c r="F256" s="18"/>
    </row>
    <row r="257" spans="5:7" ht="24" customHeight="1">
      <c r="E257" s="72" t="s">
        <v>141</v>
      </c>
      <c r="F257" s="73"/>
      <c r="G257" s="73"/>
    </row>
    <row r="258" ht="12.75" customHeight="1">
      <c r="F258" s="18"/>
    </row>
    <row r="259" spans="5:7" ht="24" customHeight="1">
      <c r="E259" s="72" t="s">
        <v>186</v>
      </c>
      <c r="F259" s="73"/>
      <c r="G259" s="73"/>
    </row>
    <row r="260" ht="12.75" customHeight="1">
      <c r="F260" s="18"/>
    </row>
    <row r="261" spans="5:7" ht="32.25" customHeight="1">
      <c r="E261" s="72" t="s">
        <v>187</v>
      </c>
      <c r="F261" s="73"/>
      <c r="G261" s="73"/>
    </row>
    <row r="262" ht="12.75" customHeight="1">
      <c r="F262" s="18"/>
    </row>
    <row r="263" ht="12.75" customHeight="1">
      <c r="F263" s="18"/>
    </row>
    <row r="264" ht="12.75" customHeight="1">
      <c r="F264" s="18"/>
    </row>
    <row r="265" ht="12.75" customHeight="1">
      <c r="F265" s="18"/>
    </row>
    <row r="266" ht="12.75" customHeight="1">
      <c r="F266" s="18"/>
    </row>
    <row r="267" ht="12.75" customHeight="1">
      <c r="F267" s="18"/>
    </row>
    <row r="268" ht="12.75" customHeight="1">
      <c r="F268" s="18"/>
    </row>
    <row r="269" ht="12.75" customHeight="1">
      <c r="F269" s="18"/>
    </row>
    <row r="270" ht="12.75" customHeight="1">
      <c r="F270" s="18"/>
    </row>
    <row r="271" ht="12.75" customHeight="1">
      <c r="F271" s="18"/>
    </row>
    <row r="272" ht="12.75" customHeight="1">
      <c r="F272" s="18"/>
    </row>
    <row r="273" ht="12.75" customHeight="1">
      <c r="F273" s="18"/>
    </row>
    <row r="274" ht="12.75" customHeight="1">
      <c r="F274" s="18"/>
    </row>
    <row r="275" ht="12.75" customHeight="1">
      <c r="F275" s="18"/>
    </row>
    <row r="276" ht="12.75" customHeight="1">
      <c r="F276" s="18"/>
    </row>
    <row r="277" ht="12.75" customHeight="1">
      <c r="F277" s="18"/>
    </row>
    <row r="278" ht="12.75" customHeight="1">
      <c r="F278" s="18"/>
    </row>
    <row r="279" ht="12.75" customHeight="1">
      <c r="F279" s="18"/>
    </row>
    <row r="280" ht="12.75" customHeight="1">
      <c r="F280" s="18"/>
    </row>
    <row r="281" ht="12.75" customHeight="1">
      <c r="F281" s="18"/>
    </row>
    <row r="282" ht="12.75" customHeight="1">
      <c r="F282" s="18"/>
    </row>
    <row r="283" ht="12.75" customHeight="1">
      <c r="F283" s="18"/>
    </row>
  </sheetData>
  <sheetProtection password="CCF6" sheet="1"/>
  <mergeCells count="15">
    <mergeCell ref="E261:G261"/>
    <mergeCell ref="C5:H8"/>
    <mergeCell ref="B248:F248"/>
    <mergeCell ref="B11:H11"/>
    <mergeCell ref="B23:B24"/>
    <mergeCell ref="C23:C24"/>
    <mergeCell ref="D23:D24"/>
    <mergeCell ref="E23:E24"/>
    <mergeCell ref="F23:F24"/>
    <mergeCell ref="G23:H23"/>
    <mergeCell ref="C9:H9"/>
    <mergeCell ref="E4:H4"/>
    <mergeCell ref="C3:D3"/>
    <mergeCell ref="E257:G257"/>
    <mergeCell ref="E259:G259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600" verticalDpi="600" orientation="portrait" paperSize="8" scale="43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Dorota</cp:lastModifiedBy>
  <cp:lastPrinted>2019-08-29T05:52:40Z</cp:lastPrinted>
  <dcterms:created xsi:type="dcterms:W3CDTF">2010-11-02T07:56:20Z</dcterms:created>
  <dcterms:modified xsi:type="dcterms:W3CDTF">2019-09-23T14:10:33Z</dcterms:modified>
  <cp:category/>
  <cp:version/>
  <cp:contentType/>
  <cp:contentStatus/>
</cp:coreProperties>
</file>