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<sst xmlns="http://schemas.openxmlformats.org/spreadsheetml/2006/main" count="149" uniqueCount="149">
  <si>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>SPOSÓB OBLICZENIA CENY OFERTY</t>
  </si>
  <si>
    <t>(proszę uzupełnić)</t>
  </si>
  <si>
    <t xml:space="preserve">+ / - marża banku </t>
  </si>
  <si>
    <t>Ko</t>
  </si>
  <si>
    <t>=</t>
  </si>
  <si>
    <t>Kwota kredytu w zł</t>
  </si>
  <si>
    <t xml:space="preserve">Prowizja przygotowawcza (Pp)          = </t>
  </si>
  <si>
    <t>TABELA nr 1</t>
  </si>
  <si>
    <t>Lp.</t>
  </si>
  <si>
    <t>termin płatności raty kapitałowej</t>
  </si>
  <si>
    <t>kwota spłaty raty kapitałowej</t>
  </si>
  <si>
    <t>Saldo zadłużenia z tytułu kredytu</t>
  </si>
  <si>
    <t>Data uruchomienia transzy (poz 1-3)/ Data naliczenia odsetek (poz 4-52)</t>
  </si>
  <si>
    <t>Koszty oprocentowania (Ko)</t>
  </si>
  <si>
    <t>Termin płatności odsetek</t>
  </si>
  <si>
    <t>WIBOR 1 M 
 + / - 
stała marża "m"</t>
  </si>
  <si>
    <t>Okres odsetkowy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</si>
  <si>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</si>
  <si>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</si>
  <si>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</si>
  <si>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</si>
  <si>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</si>
  <si>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</si>
  <si>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</si>
  <si>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</si>
  <si>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</si>
  <si>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</si>
  <si>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</si>
  <si>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</si>
  <si>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</si>
  <si>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</si>
  <si>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</si>
  <si>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</si>
  <si>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</si>
  <si>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</si>
  <si>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</si>
  <si>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</si>
  <si>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</si>
  <si>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</si>
  <si>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</si>
  <si>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</si>
  <si>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</si>
  <si>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</si>
  <si>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</si>
  <si>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</si>
  <si>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</si>
  <si>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</si>
  <si>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</si>
  <si>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</si>
  <si>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</si>
  <si>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</si>
  <si>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</si>
  <si>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</si>
  <si>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</si>
  <si>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</si>
  <si>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</si>
  <si>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</si>
  <si>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</si>
  <si>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</si>
  <si>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</si>
  <si>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</si>
  <si>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</si>
  <si>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</si>
  <si>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</si>
  <si>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</si>
  <si>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</si>
  <si>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</si>
  <si>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</si>
  <si>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</si>
  <si>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</si>
  <si>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</si>
  <si>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</si>
  <si>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</si>
  <si>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</si>
  <si>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</si>
  <si>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</si>
  <si>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</si>
  <si>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</si>
  <si>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</si>
  <si>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</si>
  <si>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</si>
  <si>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</si>
  <si>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</si>
  <si>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</si>
  <si>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</si>
  <si>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</si>
  <si>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</si>
  <si>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</si>
  <si>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</si>
  <si>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</si>
  <si>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</si>
  <si>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</si>
  <si>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</si>
  <si>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</si>
  <si>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</si>
  <si>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</si>
  <si>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</si>
  <si>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</si>
  <si>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</si>
  <si>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</si>
  <si>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</si>
  <si>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</si>
  <si>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</si>
  <si>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</si>
  <si>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</si>
  <si>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</si>
  <si>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</si>
  <si>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</si>
  <si>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</si>
  <si>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</si>
  <si>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</si>
  <si>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</si>
  <si>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</si>
  <si>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</si>
  <si>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</si>
  <si>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</si>
  <si>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</si>
  <si>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</si>
  <si>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</si>
  <si>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</si>
  <si>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</si>
  <si>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</si>
  <si>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</si>
  <si>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</si>
  <si>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</si>
  <si>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</si>
  <si>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</si>
  <si>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</si>
  <si>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</si>
  <si>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</si>
  <si>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</si>
  <si>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</si>
  <si>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</si>
  <si>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</si>
  <si>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</si>
  <si>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</si>
  <si>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</si>
  <si>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Razem:</t>
  </si>
  <si>
    <t xml:space="preserve">INSTRUKCJA WYPEŁNIANIA FORMULARZA </t>
  </si>
  <si>
    <t>W celu obliczenia ceny (za pomocą pliku Excela) należy wypełnić tylko komórki koloru zielonego</t>
  </si>
  <si>
    <t>W komórkach koloru żółtego wstawione są formuły, które wypełnią się automatycznie po wypełnieniu komórek koloru zielonego</t>
  </si>
  <si>
    <t>FORMULARZ CENOWY</t>
  </si>
  <si>
    <t>koszty oprocentowania</t>
  </si>
  <si>
    <t>kwartalne</t>
  </si>
  <si>
    <t xml:space="preserve">Wartość zamówienia (Pp + Ko ) = </t>
  </si>
  <si>
    <t>Załącznik nr 6   do SIWZ</t>
  </si>
  <si>
    <t>2010-11.20</t>
  </si>
  <si>
    <t>Kredyt dl€goterminowy na zadania inwestycyjne realizowane w 2011 r.</t>
  </si>
  <si>
    <t xml:space="preserve">Do obliczenia kosztów oprocentowania (Ko) należy przyjąć  stawkę WIBOR 1M z dn. 31 października 2011 r. tj. 4,71% =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</si>
</sst>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d\ mmmm\ yyyy"/>
    <numFmt numFmtId="166" formatCode="#,##0&quot; zł&quot;"/>
    <numFmt numFmtId="167" formatCode="#,##0.00\ [$zł-415];[Red]\-#,##0.00\ [$zł-415]"/>
    <numFmt numFmtId="168" formatCode="0.0000"/>
    <numFmt numFmtId="169" formatCode="yyyy\-mm\-dd"/>
    <numFmt numFmtId="170" formatCode="#,##0.00&quot; zł&quot;"/>
  </numFmts>
  <fonts count="3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2" borderId="1" applyNumberFormat="0" applyAlignment="0" applyProtection="0"/>
    <xf numFmtId="9" fontId="0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1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4" fontId="0" fillId="0" borderId="0" xfId="44" applyNumberFormat="1" applyFont="1">
      <alignment/>
      <protection/>
    </xf>
    <xf numFmtId="0" fontId="0" fillId="0" borderId="0" xfId="44">
      <alignment/>
      <protection/>
    </xf>
    <xf numFmtId="0" fontId="6" fillId="0" borderId="0" xfId="44" applyFont="1" applyAlignment="1">
      <alignment horizontal="center"/>
      <protection/>
    </xf>
    <xf numFmtId="0" fontId="0" fillId="0" borderId="0" xfId="44" applyFont="1" applyProtection="1">
      <alignment/>
      <protection locked="0"/>
    </xf>
    <xf numFmtId="0" fontId="1" fillId="0" borderId="0" xfId="44" applyFont="1" applyAlignment="1" applyProtection="1">
      <alignment horizontal="left"/>
      <protection locked="0"/>
    </xf>
    <xf numFmtId="0" fontId="2" fillId="0" borderId="0" xfId="44" applyFont="1" applyProtection="1">
      <alignment/>
      <protection locked="0"/>
    </xf>
    <xf numFmtId="0" fontId="2" fillId="0" borderId="0" xfId="44" applyFont="1" applyAlignment="1" applyProtection="1">
      <alignment horizontal="center"/>
      <protection locked="0"/>
    </xf>
    <xf numFmtId="4" fontId="2" fillId="0" borderId="0" xfId="44" applyNumberFormat="1" applyFont="1" applyProtection="1">
      <alignment/>
      <protection locked="0"/>
    </xf>
    <xf numFmtId="4" fontId="1" fillId="0" borderId="0" xfId="44" applyNumberFormat="1" applyFont="1" applyProtection="1">
      <alignment/>
      <protection locked="0"/>
    </xf>
    <xf numFmtId="0" fontId="3" fillId="0" borderId="0" xfId="44" applyFont="1" applyAlignment="1" applyProtection="1">
      <alignment horizontal="right"/>
      <protection locked="0"/>
    </xf>
    <xf numFmtId="0" fontId="0" fillId="0" borderId="0" xfId="44" applyFont="1" applyAlignment="1" applyProtection="1">
      <alignment horizontal="center"/>
      <protection locked="0"/>
    </xf>
    <xf numFmtId="0" fontId="0" fillId="0" borderId="0" xfId="44" applyFont="1" applyAlignment="1" applyProtection="1">
      <alignment horizontal="left"/>
      <protection locked="0"/>
    </xf>
    <xf numFmtId="4" fontId="0" fillId="0" borderId="0" xfId="44" applyNumberFormat="1" applyFont="1" applyProtection="1">
      <alignment/>
      <protection locked="0"/>
    </xf>
    <xf numFmtId="164" fontId="5" fillId="0" borderId="0" xfId="44" applyNumberFormat="1" applyFont="1" applyAlignment="1" applyProtection="1">
      <alignment horizontal="left"/>
      <protection locked="0"/>
    </xf>
    <xf numFmtId="164" fontId="0" fillId="0" borderId="0" xfId="44" applyNumberFormat="1" applyFont="1" applyAlignment="1" applyProtection="1">
      <alignment horizontal="left"/>
      <protection locked="0"/>
    </xf>
    <xf numFmtId="0" fontId="7" fillId="0" borderId="0" xfId="44" applyFont="1" applyProtection="1">
      <alignment/>
      <protection locked="0"/>
    </xf>
    <xf numFmtId="0" fontId="8" fillId="0" borderId="0" xfId="44" applyFont="1" applyProtection="1">
      <alignment/>
      <protection locked="0"/>
    </xf>
    <xf numFmtId="0" fontId="6" fillId="0" borderId="0" xfId="44" applyFont="1" applyAlignment="1" applyProtection="1">
      <alignment horizontal="center"/>
      <protection locked="0"/>
    </xf>
    <xf numFmtId="0" fontId="0" fillId="0" borderId="0" xfId="44" applyFont="1" applyBorder="1" applyAlignment="1" applyProtection="1">
      <alignment horizontal="left" vertical="center" wrapText="1"/>
      <protection locked="0"/>
    </xf>
    <xf numFmtId="0" fontId="0" fillId="0" borderId="0" xfId="44" applyFont="1" applyBorder="1" applyProtection="1">
      <alignment/>
      <protection locked="0"/>
    </xf>
    <xf numFmtId="10" fontId="0" fillId="17" borderId="10" xfId="45" applyNumberFormat="1" applyFont="1" applyFill="1" applyBorder="1" applyAlignment="1" applyProtection="1">
      <alignment horizontal="right"/>
      <protection locked="0"/>
    </xf>
    <xf numFmtId="0" fontId="0" fillId="0" borderId="0" xfId="44" applyFont="1" applyAlignment="1" applyProtection="1">
      <alignment horizontal="right"/>
      <protection locked="0"/>
    </xf>
    <xf numFmtId="4" fontId="0" fillId="0" borderId="0" xfId="44" applyNumberFormat="1" applyFont="1" applyBorder="1" applyAlignment="1" applyProtection="1">
      <alignment horizontal="center"/>
      <protection locked="0"/>
    </xf>
    <xf numFmtId="10" fontId="0" fillId="18" borderId="10" xfId="45" applyNumberFormat="1" applyFont="1" applyFill="1" applyBorder="1" applyAlignment="1" applyProtection="1">
      <alignment horizontal="right"/>
      <protection locked="0"/>
    </xf>
    <xf numFmtId="166" fontId="0" fillId="0" borderId="10" xfId="44" applyNumberFormat="1" applyFont="1" applyFill="1" applyBorder="1" applyAlignment="1" applyProtection="1">
      <alignment horizontal="right"/>
      <protection locked="0"/>
    </xf>
    <xf numFmtId="0" fontId="0" fillId="0" borderId="0" xfId="44" applyFont="1" applyAlignment="1" applyProtection="1">
      <alignment horizontal="left" vertical="center"/>
      <protection locked="0"/>
    </xf>
    <xf numFmtId="167" fontId="0" fillId="18" borderId="10" xfId="44" applyNumberFormat="1" applyFont="1" applyFill="1" applyBorder="1" applyAlignment="1" applyProtection="1">
      <alignment horizontal="right"/>
      <protection locked="0"/>
    </xf>
    <xf numFmtId="0" fontId="0" fillId="0" borderId="0" xfId="44" applyFont="1" applyAlignment="1" applyProtection="1">
      <alignment horizontal="right" vertical="center"/>
      <protection locked="0"/>
    </xf>
    <xf numFmtId="0" fontId="9" fillId="0" borderId="0" xfId="44" applyFont="1" applyAlignment="1" applyProtection="1">
      <alignment horizontal="right"/>
      <protection locked="0"/>
    </xf>
    <xf numFmtId="168" fontId="0" fillId="0" borderId="0" xfId="44" applyNumberFormat="1" applyFont="1" applyBorder="1" applyAlignment="1" applyProtection="1">
      <alignment horizontal="left"/>
      <protection locked="0"/>
    </xf>
    <xf numFmtId="0" fontId="0" fillId="0" borderId="11" xfId="44" applyFont="1" applyFill="1" applyBorder="1" applyAlignment="1" applyProtection="1">
      <alignment horizontal="center" vertical="center" wrapText="1"/>
      <protection locked="0"/>
    </xf>
    <xf numFmtId="0" fontId="0" fillId="0" borderId="12" xfId="44" applyFont="1" applyBorder="1" applyAlignment="1" applyProtection="1">
      <alignment horizontal="center" wrapText="1"/>
      <protection locked="0"/>
    </xf>
    <xf numFmtId="0" fontId="0" fillId="0" borderId="11" xfId="44" applyFont="1" applyFill="1" applyBorder="1" applyAlignment="1" applyProtection="1">
      <alignment horizontal="center" wrapText="1"/>
      <protection locked="0"/>
    </xf>
    <xf numFmtId="0" fontId="0" fillId="0" borderId="13" xfId="44" applyFont="1" applyBorder="1" applyProtection="1">
      <alignment/>
      <protection locked="0"/>
    </xf>
    <xf numFmtId="0" fontId="0" fillId="19" borderId="11" xfId="44" applyFont="1" applyFill="1" applyBorder="1" applyAlignment="1" applyProtection="1">
      <alignment horizontal="center" vertical="center" wrapText="1"/>
      <protection locked="0"/>
    </xf>
    <xf numFmtId="0" fontId="0" fillId="19" borderId="12" xfId="44" applyFont="1" applyFill="1" applyBorder="1" applyAlignment="1" applyProtection="1">
      <alignment horizontal="center" vertical="center" wrapText="1"/>
      <protection locked="0"/>
    </xf>
    <xf numFmtId="0" fontId="0" fillId="0" borderId="14" xfId="44" applyFont="1" applyBorder="1" applyProtection="1">
      <alignment/>
      <protection locked="0"/>
    </xf>
    <xf numFmtId="167" fontId="2" fillId="18" borderId="14" xfId="44" applyNumberFormat="1" applyFont="1" applyFill="1" applyBorder="1" applyAlignment="1" applyProtection="1">
      <alignment horizontal="right"/>
      <protection locked="0"/>
    </xf>
    <xf numFmtId="4" fontId="2" fillId="0" borderId="14" xfId="44" applyNumberFormat="1" applyFont="1" applyFill="1" applyBorder="1" applyAlignment="1" applyProtection="1">
      <alignment horizontal="center"/>
      <protection locked="0"/>
    </xf>
    <xf numFmtId="167" fontId="0" fillId="17" borderId="14" xfId="44" applyNumberFormat="1" applyFont="1" applyFill="1" applyBorder="1" applyAlignment="1" applyProtection="1">
      <alignment horizontal="right"/>
      <protection locked="0"/>
    </xf>
    <xf numFmtId="169" fontId="0" fillId="0" borderId="14" xfId="44" applyNumberFormat="1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20" borderId="14" xfId="44" applyNumberFormat="1" applyFont="1" applyFill="1" applyBorder="1" applyAlignment="1" applyProtection="1">
      <alignment horizontal="center"/>
      <protection locked="0"/>
    </xf>
    <xf numFmtId="167" fontId="2" fillId="18" borderId="14" xfId="44" applyNumberFormat="1" applyFont="1" applyFill="1" applyBorder="1" applyProtection="1">
      <alignment/>
      <protection locked="0"/>
    </xf>
    <xf numFmtId="3" fontId="0" fillId="0" borderId="0" xfId="44" applyNumberFormat="1" applyFont="1" applyBorder="1" applyProtection="1">
      <alignment/>
      <protection locked="0"/>
    </xf>
    <xf numFmtId="0" fontId="6" fillId="0" borderId="0" xfId="44" applyFont="1" applyProtection="1">
      <alignment/>
      <protection locked="0"/>
    </xf>
    <xf numFmtId="0" fontId="10" fillId="21" borderId="15" xfId="44" applyFont="1" applyFill="1" applyBorder="1" applyAlignment="1" applyProtection="1">
      <alignment vertical="center"/>
      <protection locked="0"/>
    </xf>
    <xf numFmtId="0" fontId="10" fillId="21" borderId="16" xfId="44" applyFont="1" applyFill="1" applyBorder="1" applyAlignment="1" applyProtection="1">
      <alignment vertical="center"/>
      <protection locked="0"/>
    </xf>
    <xf numFmtId="3" fontId="10" fillId="21" borderId="17" xfId="44" applyNumberFormat="1" applyFont="1" applyFill="1" applyBorder="1" applyAlignment="1" applyProtection="1">
      <alignment horizontal="right" vertical="center"/>
      <protection locked="0"/>
    </xf>
    <xf numFmtId="170" fontId="11" fillId="18" borderId="10" xfId="44" applyNumberFormat="1" applyFont="1" applyFill="1" applyBorder="1" applyProtection="1">
      <alignment/>
      <protection locked="0"/>
    </xf>
    <xf numFmtId="3" fontId="0" fillId="0" borderId="0" xfId="44" applyNumberFormat="1" applyFont="1" applyBorder="1" applyAlignment="1" applyProtection="1">
      <alignment horizontal="left"/>
      <protection locked="0"/>
    </xf>
    <xf numFmtId="0" fontId="12" fillId="0" borderId="0" xfId="44" applyFont="1" applyAlignment="1" applyProtection="1">
      <alignment horizontal="left"/>
      <protection locked="0"/>
    </xf>
    <xf numFmtId="0" fontId="6" fillId="0" borderId="0" xfId="44" applyFont="1" applyAlignment="1" applyProtection="1">
      <alignment horizontal="left"/>
      <protection locked="0"/>
    </xf>
    <xf numFmtId="0" fontId="0" fillId="0" borderId="14" xfId="44" applyFont="1" applyBorder="1" applyProtection="1">
      <alignment/>
      <protection/>
    </xf>
    <xf numFmtId="169" fontId="2" fillId="0" borderId="14" xfId="44" applyNumberFormat="1" applyFont="1" applyFill="1" applyBorder="1" applyAlignment="1" applyProtection="1">
      <alignment horizontal="center"/>
      <protection/>
    </xf>
    <xf numFmtId="167" fontId="2" fillId="0" borderId="14" xfId="44" applyNumberFormat="1" applyFont="1" applyFill="1" applyBorder="1" applyAlignment="1" applyProtection="1">
      <alignment horizontal="right"/>
      <protection/>
    </xf>
    <xf numFmtId="0" fontId="0" fillId="0" borderId="0" xfId="44" applyFont="1" applyAlignment="1" applyProtection="1">
      <alignment horizontal="center" wrapText="1"/>
      <protection locked="0"/>
    </xf>
    <xf numFmtId="0" fontId="2" fillId="20" borderId="14" xfId="44" applyFont="1" applyFill="1" applyBorder="1" applyProtection="1">
      <alignment/>
      <protection/>
    </xf>
    <xf numFmtId="0" fontId="4" fillId="0" borderId="0" xfId="44" applyFont="1" applyBorder="1" applyAlignment="1" applyProtection="1">
      <alignment horizontal="center"/>
      <protection locked="0"/>
    </xf>
    <xf numFmtId="0" fontId="0" fillId="0" borderId="0" xfId="44" applyFont="1" applyBorder="1" applyProtection="1">
      <alignment/>
      <protection locked="0"/>
    </xf>
    <xf numFmtId="0" fontId="0" fillId="0" borderId="11" xfId="44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Percent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F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90" zoomScaleNormal="90" zoomScaleSheetLayoutView="100" zoomScalePageLayoutView="0" workbookViewId="0" topLeftCell="A1">
      <selection activeCell="F49" sqref="F49"/>
    </sheetView>
  </sheetViews>
  <sheetFormatPr defaultColWidth="8.7109375" defaultRowHeight="12.75" customHeight="1"/>
  <cols>
    <col min="1" max="1" width="3.00390625" style="1" customWidth="1"/>
    <col min="2" max="2" width="4.7109375" style="1" customWidth="1"/>
    <col min="3" max="3" width="12.28125" style="2" customWidth="1"/>
    <col min="4" max="4" width="14.421875" style="1" customWidth="1"/>
    <col min="5" max="5" width="17.8515625" style="1" customWidth="1"/>
    <col min="6" max="6" width="16.28125" style="2" customWidth="1"/>
    <col min="7" max="7" width="19.28125" style="3" customWidth="1"/>
    <col min="8" max="8" width="21.28125" style="3" customWidth="1"/>
    <col min="9" max="9" width="16.421875" style="1" customWidth="1"/>
    <col min="10" max="10" width="12.7109375" style="1" customWidth="1"/>
    <col min="11" max="227" width="9.140625" style="1" customWidth="1"/>
    <col min="228" max="16384" width="8.7109375" style="4" customWidth="1"/>
  </cols>
  <sheetData>
    <row r="1" spans="1:10" ht="15.75" customHeight="1">
      <c r="A1" s="6"/>
      <c r="B1" s="6"/>
      <c r="C1" s="7" t="s">
        <v>141</v>
      </c>
      <c r="D1" s="8"/>
      <c r="E1" s="8"/>
      <c r="F1" s="9"/>
      <c r="G1" s="10"/>
      <c r="H1" s="11"/>
      <c r="I1" s="12" t="s">
        <v>145</v>
      </c>
      <c r="J1" s="6"/>
    </row>
    <row r="2" spans="1:10" ht="13.5" customHeight="1">
      <c r="A2" s="6"/>
      <c r="B2" s="6"/>
      <c r="C2" s="13"/>
      <c r="D2" s="6"/>
      <c r="E2" s="6"/>
      <c r="F2" s="14"/>
      <c r="G2" s="15"/>
      <c r="H2" s="15"/>
      <c r="I2" s="6"/>
      <c r="J2" s="6"/>
    </row>
    <row r="3" spans="1:10" ht="18" customHeight="1">
      <c r="A3" s="6"/>
      <c r="B3" s="6"/>
      <c r="C3" s="61" t="s">
        <v>0</v>
      </c>
      <c r="D3" s="61"/>
      <c r="E3" s="61"/>
      <c r="F3" s="61"/>
      <c r="G3" s="61"/>
      <c r="H3" s="61"/>
      <c r="I3" s="61"/>
      <c r="J3" s="6"/>
    </row>
    <row r="4" spans="1:10" ht="31.5" customHeight="1">
      <c r="A4" s="6"/>
      <c r="B4" s="6"/>
      <c r="C4" s="16"/>
      <c r="D4" s="6"/>
      <c r="E4" s="6"/>
      <c r="F4" s="17"/>
      <c r="G4" s="15"/>
      <c r="H4" s="15"/>
      <c r="I4" s="6"/>
      <c r="J4" s="6"/>
    </row>
    <row r="5" spans="1:10" ht="18" customHeight="1">
      <c r="A5" s="6"/>
      <c r="B5" s="6"/>
      <c r="C5" s="59" t="s">
        <v>147</v>
      </c>
      <c r="D5" s="59"/>
      <c r="E5" s="59"/>
      <c r="F5" s="59"/>
      <c r="G5" s="59"/>
      <c r="H5" s="59"/>
      <c r="I5" s="6"/>
      <c r="J5" s="18"/>
    </row>
    <row r="6" spans="1:10" ht="12.75" customHeight="1">
      <c r="A6" s="19"/>
      <c r="B6" s="19"/>
      <c r="C6" s="59"/>
      <c r="D6" s="59"/>
      <c r="E6" s="59"/>
      <c r="F6" s="59"/>
      <c r="G6" s="59"/>
      <c r="H6" s="59"/>
      <c r="I6" s="6"/>
      <c r="J6" s="6"/>
    </row>
    <row r="7" spans="1:10" ht="12.75" customHeight="1">
      <c r="A7" s="6"/>
      <c r="B7" s="6"/>
      <c r="C7" s="59"/>
      <c r="D7" s="59"/>
      <c r="E7" s="59"/>
      <c r="F7" s="59"/>
      <c r="G7" s="59"/>
      <c r="H7" s="59"/>
      <c r="I7" s="6"/>
      <c r="J7" s="6"/>
    </row>
    <row r="8" spans="1:10" ht="12.75" customHeight="1">
      <c r="A8" s="19"/>
      <c r="B8" s="19"/>
      <c r="C8" s="59"/>
      <c r="D8" s="59"/>
      <c r="E8" s="59"/>
      <c r="F8" s="59"/>
      <c r="G8" s="59"/>
      <c r="H8" s="59"/>
      <c r="I8" s="6"/>
      <c r="J8" s="6"/>
    </row>
    <row r="9" spans="1:10" ht="12.75" customHeight="1">
      <c r="A9" s="6"/>
      <c r="B9" s="6"/>
      <c r="C9" s="14"/>
      <c r="D9" s="6"/>
      <c r="E9" s="6"/>
      <c r="F9" s="20"/>
      <c r="G9" s="15"/>
      <c r="H9" s="15"/>
      <c r="I9" s="6"/>
      <c r="J9" s="6"/>
    </row>
    <row r="10" spans="1:10" ht="12.75" customHeight="1">
      <c r="A10" s="6"/>
      <c r="B10" s="6"/>
      <c r="C10" s="21"/>
      <c r="D10" s="21"/>
      <c r="E10" s="21"/>
      <c r="F10" s="21"/>
      <c r="G10" s="21"/>
      <c r="H10" s="21"/>
      <c r="I10" s="6"/>
      <c r="J10" s="6"/>
    </row>
    <row r="11" spans="1:10" ht="12.75" customHeight="1">
      <c r="A11" s="6"/>
      <c r="B11" s="62" t="s">
        <v>148</v>
      </c>
      <c r="C11" s="62"/>
      <c r="D11" s="62"/>
      <c r="E11" s="62"/>
      <c r="F11" s="62"/>
      <c r="G11" s="62"/>
      <c r="H11" s="62"/>
      <c r="I11" s="23">
        <v>0</v>
      </c>
      <c r="J11" s="6"/>
    </row>
    <row r="12" spans="1:10" ht="12.75" customHeight="1">
      <c r="A12" s="6"/>
      <c r="B12" s="6"/>
      <c r="C12" s="6"/>
      <c r="D12" s="6"/>
      <c r="E12" s="6"/>
      <c r="F12" s="6"/>
      <c r="G12" s="6"/>
      <c r="H12" s="6"/>
      <c r="I12" s="20"/>
      <c r="J12" s="6"/>
    </row>
    <row r="13" spans="1:10" ht="12.75" customHeight="1">
      <c r="A13" s="6"/>
      <c r="B13" s="6"/>
      <c r="C13" s="6"/>
      <c r="D13" s="6"/>
      <c r="E13" s="6"/>
      <c r="F13" s="6"/>
      <c r="G13" s="6" t="s">
        <v>2</v>
      </c>
      <c r="H13" s="6"/>
      <c r="I13" s="23"/>
      <c r="J13" s="6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20"/>
      <c r="J14" s="6"/>
    </row>
    <row r="15" spans="1:10" ht="12.75" customHeight="1">
      <c r="A15" s="6"/>
      <c r="B15" s="6"/>
      <c r="C15" s="6"/>
      <c r="D15" s="6"/>
      <c r="E15" s="6"/>
      <c r="F15" s="6"/>
      <c r="G15" s="24" t="s">
        <v>3</v>
      </c>
      <c r="H15" s="25" t="s">
        <v>4</v>
      </c>
      <c r="I15" s="26"/>
      <c r="J15" s="6"/>
    </row>
    <row r="16" spans="1:10" ht="12.75" customHeight="1">
      <c r="A16" s="6"/>
      <c r="B16" s="6"/>
      <c r="C16" s="14"/>
      <c r="D16" s="6"/>
      <c r="E16" s="6"/>
      <c r="F16" s="6"/>
      <c r="G16" s="24"/>
      <c r="H16" s="25"/>
      <c r="I16" s="6"/>
      <c r="J16" s="6"/>
    </row>
    <row r="17" spans="1:10" ht="12.75" customHeight="1">
      <c r="A17" s="6"/>
      <c r="B17" s="6"/>
      <c r="C17" s="14" t="s">
        <v>5</v>
      </c>
      <c r="D17" s="6"/>
      <c r="E17" s="6"/>
      <c r="F17" s="6"/>
      <c r="G17" s="27">
        <v>1000000</v>
      </c>
      <c r="H17" s="25"/>
      <c r="I17" s="6"/>
      <c r="J17" s="6"/>
    </row>
    <row r="18" spans="1:10" ht="13.5" customHeight="1">
      <c r="A18" s="6"/>
      <c r="B18" s="6"/>
      <c r="C18" s="14"/>
      <c r="D18" s="6"/>
      <c r="E18" s="6"/>
      <c r="F18" s="6"/>
      <c r="G18" s="24"/>
      <c r="H18" s="6"/>
      <c r="I18" s="6"/>
      <c r="J18" s="6"/>
    </row>
    <row r="19" spans="1:10" ht="13.5" customHeight="1">
      <c r="A19" s="6"/>
      <c r="B19" s="6"/>
      <c r="C19" s="28" t="s">
        <v>6</v>
      </c>
      <c r="D19" s="6"/>
      <c r="E19" s="6"/>
      <c r="F19" s="6"/>
      <c r="G19" s="23">
        <v>0</v>
      </c>
      <c r="H19" s="6"/>
      <c r="I19" s="29">
        <f>G17*G19</f>
        <v>0</v>
      </c>
      <c r="J19" s="6"/>
    </row>
    <row r="20" spans="1:10" ht="12.75" customHeight="1">
      <c r="A20" s="6"/>
      <c r="B20" s="6"/>
      <c r="C20" s="13"/>
      <c r="D20" s="6"/>
      <c r="E20" s="6"/>
      <c r="F20" s="13"/>
      <c r="G20" s="20" t="s">
        <v>1</v>
      </c>
      <c r="H20" s="6"/>
      <c r="I20" s="30"/>
      <c r="J20" s="6"/>
    </row>
    <row r="21" spans="1:10" ht="21.75" customHeight="1">
      <c r="A21" s="6"/>
      <c r="B21" s="6"/>
      <c r="C21" s="13"/>
      <c r="D21" s="6"/>
      <c r="E21" s="6"/>
      <c r="F21" s="13"/>
      <c r="G21" s="15"/>
      <c r="H21" s="15"/>
      <c r="I21" s="31" t="s">
        <v>7</v>
      </c>
      <c r="J21" s="6"/>
    </row>
    <row r="22" spans="1:10" ht="12.75" customHeight="1">
      <c r="A22" s="6"/>
      <c r="B22" s="6"/>
      <c r="C22" s="22"/>
      <c r="D22" s="32"/>
      <c r="E22" s="6"/>
      <c r="F22" s="22"/>
      <c r="G22" s="15"/>
      <c r="H22" s="15"/>
      <c r="I22" s="6"/>
      <c r="J22" s="6"/>
    </row>
    <row r="23" spans="1:10" ht="40.5" customHeight="1">
      <c r="A23" s="6"/>
      <c r="B23" s="63" t="s">
        <v>8</v>
      </c>
      <c r="C23" s="63" t="s">
        <v>9</v>
      </c>
      <c r="D23" s="63" t="s">
        <v>10</v>
      </c>
      <c r="E23" s="63" t="s">
        <v>11</v>
      </c>
      <c r="F23" s="63" t="s">
        <v>12</v>
      </c>
      <c r="G23" s="63" t="s">
        <v>13</v>
      </c>
      <c r="H23" s="63"/>
      <c r="I23" s="33" t="s">
        <v>142</v>
      </c>
      <c r="J23" s="34" t="s">
        <v>14</v>
      </c>
    </row>
    <row r="24" spans="1:10" ht="41.25" customHeight="1">
      <c r="A24" s="6"/>
      <c r="B24" s="63"/>
      <c r="C24" s="63"/>
      <c r="D24" s="63"/>
      <c r="E24" s="63"/>
      <c r="F24" s="63"/>
      <c r="G24" s="35" t="s">
        <v>15</v>
      </c>
      <c r="H24" s="33" t="s">
        <v>16</v>
      </c>
      <c r="I24" s="33" t="s">
        <v>143</v>
      </c>
      <c r="J24" s="36"/>
    </row>
    <row r="25" spans="1:10" ht="12.75" customHeight="1">
      <c r="A25" s="6"/>
      <c r="B25" s="37">
        <v>1</v>
      </c>
      <c r="C25" s="37">
        <f aca="true" t="shared" si="0" ref="C25:J25">B25+1</f>
        <v>2</v>
      </c>
      <c r="D25" s="37">
        <f t="shared" si="0"/>
        <v>3</v>
      </c>
      <c r="E25" s="37">
        <f t="shared" si="0"/>
        <v>4</v>
      </c>
      <c r="F25" s="37">
        <f t="shared" si="0"/>
        <v>5</v>
      </c>
      <c r="G25" s="37">
        <f t="shared" si="0"/>
        <v>6</v>
      </c>
      <c r="H25" s="37">
        <f t="shared" si="0"/>
        <v>7</v>
      </c>
      <c r="I25" s="37">
        <f t="shared" si="0"/>
        <v>8</v>
      </c>
      <c r="J25" s="38">
        <f t="shared" si="0"/>
        <v>9</v>
      </c>
    </row>
    <row r="26" spans="1:10" ht="12" customHeight="1">
      <c r="A26" s="6"/>
      <c r="B26" s="56" t="s">
        <v>17</v>
      </c>
      <c r="C26" s="57" t="s">
        <v>146</v>
      </c>
      <c r="D26" s="58"/>
      <c r="E26" s="58"/>
      <c r="F26" s="57">
        <v>40502</v>
      </c>
      <c r="G26" s="40"/>
      <c r="H26" s="41"/>
      <c r="I26" s="42"/>
      <c r="J26" s="39"/>
    </row>
    <row r="27" spans="1:10" ht="12" customHeight="1">
      <c r="A27" s="6"/>
      <c r="B27" s="56" t="s">
        <v>18</v>
      </c>
      <c r="C27" s="57">
        <v>40543</v>
      </c>
      <c r="D27" s="58"/>
      <c r="E27" s="58"/>
      <c r="F27" s="57">
        <v>40908</v>
      </c>
      <c r="G27" s="40"/>
      <c r="H27" s="41" t="str">
        <f>"odsetki do 2010-12-31"</f>
        <v>odsetki do 2010-12-31</v>
      </c>
      <c r="I27" s="42"/>
      <c r="J27" s="39"/>
    </row>
    <row r="28" spans="1:10" ht="12" customHeight="1">
      <c r="A28" s="6"/>
      <c r="B28" s="56" t="s">
        <v>19</v>
      </c>
      <c r="C28" s="57">
        <v>40574</v>
      </c>
      <c r="D28" s="58"/>
      <c r="E28" s="58"/>
      <c r="F28" s="57">
        <v>40574</v>
      </c>
      <c r="G28" s="40">
        <f>(E26*(F27-F26)*I$15/365)+(E27*(F28-F27)*I$15/365)</f>
        <v>0</v>
      </c>
      <c r="H28" s="41" t="str">
        <f>"odsetki do 2011-01-31"</f>
        <v>odsetki do 2011-01-31</v>
      </c>
      <c r="I28" s="42"/>
      <c r="J28" s="43"/>
    </row>
    <row r="29" spans="1:10" ht="12" customHeight="1">
      <c r="A29" s="6"/>
      <c r="B29" s="56" t="s">
        <v>20</v>
      </c>
      <c r="C29" s="57">
        <v>40602</v>
      </c>
      <c r="D29" s="58"/>
      <c r="E29" s="58"/>
      <c r="F29" s="57">
        <v>40602</v>
      </c>
      <c r="G29" s="40">
        <f aca="true" t="shared" si="1" ref="G29:G60">E28*I$15*(F29-F28)/365</f>
        <v>0</v>
      </c>
      <c r="H29" s="41" t="str">
        <f>"odsetki do 2011-02-28"</f>
        <v>odsetki do 2011-02-28</v>
      </c>
      <c r="I29" s="42"/>
      <c r="J29" s="43"/>
    </row>
    <row r="30" spans="1:10" ht="12" customHeight="1">
      <c r="A30" s="6"/>
      <c r="B30" s="56" t="s">
        <v>21</v>
      </c>
      <c r="C30" s="57">
        <v>40633</v>
      </c>
      <c r="D30" s="58"/>
      <c r="E30" s="58"/>
      <c r="F30" s="57">
        <v>40633</v>
      </c>
      <c r="G30" s="40">
        <f t="shared" si="1"/>
        <v>0</v>
      </c>
      <c r="H30" s="41" t="str">
        <f>"odsetki do 2011-03-31"</f>
        <v>odsetki do 2011-03-31</v>
      </c>
      <c r="I30" s="42"/>
      <c r="J30" s="43"/>
    </row>
    <row r="31" spans="1:10" ht="12" customHeight="1">
      <c r="A31" s="6"/>
      <c r="B31" s="56" t="s">
        <v>22</v>
      </c>
      <c r="C31" s="57">
        <v>40663</v>
      </c>
      <c r="D31" s="58"/>
      <c r="E31" s="58"/>
      <c r="F31" s="57">
        <v>40663</v>
      </c>
      <c r="G31" s="40">
        <f t="shared" si="1"/>
        <v>0</v>
      </c>
      <c r="H31" s="41" t="str">
        <f>"odsetki do 2011-04-30"</f>
        <v>odsetki do 2011-04-30</v>
      </c>
      <c r="I31" s="42">
        <f>SUM(G26:G30)</f>
        <v>0</v>
      </c>
      <c r="J31" s="43">
        <v>40643</v>
      </c>
    </row>
    <row r="32" spans="1:10" ht="12" customHeight="1">
      <c r="A32" s="6"/>
      <c r="B32" s="56" t="s">
        <v>23</v>
      </c>
      <c r="C32" s="57">
        <v>40694</v>
      </c>
      <c r="D32" s="58"/>
      <c r="E32" s="58"/>
      <c r="F32" s="57">
        <v>40694</v>
      </c>
      <c r="G32" s="40">
        <f t="shared" si="1"/>
        <v>0</v>
      </c>
      <c r="H32" s="41" t="str">
        <f>"odsetki do 2011-05-31"</f>
        <v>odsetki do 2011-05-31</v>
      </c>
      <c r="I32" s="42"/>
      <c r="J32" s="43"/>
    </row>
    <row r="33" spans="1:10" ht="12" customHeight="1">
      <c r="A33" s="6"/>
      <c r="B33" s="56" t="s">
        <v>24</v>
      </c>
      <c r="C33" s="57">
        <v>40724</v>
      </c>
      <c r="D33" s="58"/>
      <c r="E33" s="58"/>
      <c r="F33" s="57">
        <v>40724</v>
      </c>
      <c r="G33" s="40">
        <f t="shared" si="1"/>
        <v>0</v>
      </c>
      <c r="H33" s="41" t="str">
        <f>"odsetki do 2011-06-30"</f>
        <v>odsetki do 2011-06-30</v>
      </c>
      <c r="I33" s="42"/>
      <c r="J33" s="43"/>
    </row>
    <row r="34" spans="1:10" ht="12" customHeight="1">
      <c r="A34" s="6"/>
      <c r="B34" s="56" t="s">
        <v>25</v>
      </c>
      <c r="C34" s="57">
        <v>40755</v>
      </c>
      <c r="D34" s="58"/>
      <c r="E34" s="58"/>
      <c r="F34" s="57">
        <v>40755</v>
      </c>
      <c r="G34" s="40">
        <f t="shared" si="1"/>
        <v>0</v>
      </c>
      <c r="H34" s="41" t="str">
        <f>"odsetki do 2011-07-31"</f>
        <v>odsetki do 2011-07-31</v>
      </c>
      <c r="I34" s="42">
        <f>SUM(G31:G33)</f>
        <v>0</v>
      </c>
      <c r="J34" s="43">
        <v>40734</v>
      </c>
    </row>
    <row r="35" spans="1:10" ht="12" customHeight="1">
      <c r="A35" s="6"/>
      <c r="B35" s="56" t="s">
        <v>26</v>
      </c>
      <c r="C35" s="57">
        <v>40786</v>
      </c>
      <c r="D35" s="58"/>
      <c r="E35" s="58"/>
      <c r="F35" s="57">
        <v>40786</v>
      </c>
      <c r="G35" s="40">
        <f t="shared" si="1"/>
        <v>0</v>
      </c>
      <c r="H35" s="41" t="str">
        <f>"odsetki do 2011-08-31"</f>
        <v>odsetki do 2011-08-31</v>
      </c>
      <c r="I35" s="42"/>
      <c r="J35" s="43"/>
    </row>
    <row r="36" spans="1:10" ht="12" customHeight="1">
      <c r="A36" s="6"/>
      <c r="B36" s="56" t="s">
        <v>27</v>
      </c>
      <c r="C36" s="57">
        <v>40806</v>
      </c>
      <c r="D36" s="58"/>
      <c r="E36" s="58"/>
      <c r="F36" s="57">
        <v>40816</v>
      </c>
      <c r="G36" s="40">
        <f t="shared" si="1"/>
        <v>0</v>
      </c>
      <c r="H36" s="41" t="str">
        <f>"odsetki do 2011-09-30"</f>
        <v>odsetki do 2011-09-30</v>
      </c>
      <c r="I36" s="42"/>
      <c r="J36" s="43"/>
    </row>
    <row r="37" spans="1:10" ht="12" customHeight="1">
      <c r="A37" s="6"/>
      <c r="B37" s="56" t="s">
        <v>28</v>
      </c>
      <c r="C37" s="57">
        <v>40847</v>
      </c>
      <c r="D37" s="58"/>
      <c r="E37" s="58"/>
      <c r="F37" s="57">
        <v>40847</v>
      </c>
      <c r="G37" s="40">
        <f t="shared" si="1"/>
        <v>0</v>
      </c>
      <c r="H37" s="41" t="str">
        <f>"odsetki do 2011-10-31"</f>
        <v>odsetki do 2011-10-31</v>
      </c>
      <c r="I37" s="42">
        <f>SUM(G34:G36)</f>
        <v>0</v>
      </c>
      <c r="J37" s="43">
        <v>40826</v>
      </c>
    </row>
    <row r="38" spans="1:10" ht="12" customHeight="1">
      <c r="A38" s="6"/>
      <c r="B38" s="56" t="s">
        <v>29</v>
      </c>
      <c r="C38" s="57">
        <v>40877</v>
      </c>
      <c r="D38" s="58"/>
      <c r="E38" s="58"/>
      <c r="F38" s="57">
        <v>40877</v>
      </c>
      <c r="G38" s="40">
        <f t="shared" si="1"/>
        <v>0</v>
      </c>
      <c r="H38" s="41" t="str">
        <f>"odsetki do 2011-11-30"</f>
        <v>odsetki do 2011-11-30</v>
      </c>
      <c r="I38" s="42"/>
      <c r="J38" s="43"/>
    </row>
    <row r="39" spans="1:10" ht="12" customHeight="1">
      <c r="A39" s="6"/>
      <c r="B39" s="56" t="s">
        <v>30</v>
      </c>
      <c r="C39" s="57">
        <v>40897</v>
      </c>
      <c r="D39" s="58"/>
      <c r="E39" s="58">
        <v>1000000</v>
      </c>
      <c r="F39" s="57">
        <v>40908</v>
      </c>
      <c r="G39" s="40">
        <f t="shared" si="1"/>
        <v>0</v>
      </c>
      <c r="H39" s="41" t="str">
        <f>"odsetki do 2011-12-31"</f>
        <v>odsetki do 2011-12-31</v>
      </c>
      <c r="I39" s="42"/>
      <c r="J39" s="43"/>
    </row>
    <row r="40" spans="1:10" ht="12" customHeight="1">
      <c r="A40" s="6"/>
      <c r="B40" s="56" t="s">
        <v>31</v>
      </c>
      <c r="C40" s="57">
        <v>40939</v>
      </c>
      <c r="D40" s="58"/>
      <c r="E40" s="58">
        <v>1000000</v>
      </c>
      <c r="F40" s="57">
        <v>40939</v>
      </c>
      <c r="G40" s="40">
        <f t="shared" si="1"/>
        <v>0</v>
      </c>
      <c r="H40" s="41" t="str">
        <f>"odsetki do 2012-01-31"</f>
        <v>odsetki do 2012-01-31</v>
      </c>
      <c r="I40" s="42">
        <f>SUM(G37:G39)</f>
        <v>0</v>
      </c>
      <c r="J40" s="43">
        <v>40918</v>
      </c>
    </row>
    <row r="41" spans="1:10" ht="12" customHeight="1">
      <c r="A41" s="6"/>
      <c r="B41" s="56" t="s">
        <v>32</v>
      </c>
      <c r="C41" s="57">
        <v>40968</v>
      </c>
      <c r="D41" s="58"/>
      <c r="E41" s="58">
        <v>1000000</v>
      </c>
      <c r="F41" s="57">
        <v>40968</v>
      </c>
      <c r="G41" s="40">
        <f t="shared" si="1"/>
        <v>0</v>
      </c>
      <c r="H41" s="41" t="str">
        <f>"odsetki do 2012-02-29"</f>
        <v>odsetki do 2012-02-29</v>
      </c>
      <c r="I41" s="42"/>
      <c r="J41" s="43"/>
    </row>
    <row r="42" spans="1:10" ht="12" customHeight="1">
      <c r="A42" s="6"/>
      <c r="B42" s="56" t="s">
        <v>33</v>
      </c>
      <c r="C42" s="57">
        <v>40988</v>
      </c>
      <c r="D42" s="58"/>
      <c r="E42" s="58">
        <v>1000000</v>
      </c>
      <c r="F42" s="57">
        <v>40999</v>
      </c>
      <c r="G42" s="40">
        <f t="shared" si="1"/>
        <v>0</v>
      </c>
      <c r="H42" s="41" t="str">
        <f>"odsetki do 2012-03-31"</f>
        <v>odsetki do 2012-03-31</v>
      </c>
      <c r="I42" s="42"/>
      <c r="J42" s="43"/>
    </row>
    <row r="43" spans="1:10" ht="12" customHeight="1">
      <c r="A43" s="6"/>
      <c r="B43" s="56" t="s">
        <v>34</v>
      </c>
      <c r="C43" s="57">
        <v>41029</v>
      </c>
      <c r="D43" s="58"/>
      <c r="E43" s="58">
        <v>1000000</v>
      </c>
      <c r="F43" s="57">
        <v>41029</v>
      </c>
      <c r="G43" s="40">
        <f t="shared" si="1"/>
        <v>0</v>
      </c>
      <c r="H43" s="41" t="str">
        <f>"odsetki do 2012-04-30"</f>
        <v>odsetki do 2012-04-30</v>
      </c>
      <c r="I43" s="42">
        <f>SUM(G40:G42)</f>
        <v>0</v>
      </c>
      <c r="J43" s="43">
        <v>41009</v>
      </c>
    </row>
    <row r="44" spans="1:10" ht="12" customHeight="1">
      <c r="A44" s="6"/>
      <c r="B44" s="56" t="s">
        <v>35</v>
      </c>
      <c r="C44" s="57">
        <v>41060</v>
      </c>
      <c r="D44" s="58"/>
      <c r="E44" s="58">
        <v>1000000</v>
      </c>
      <c r="F44" s="57">
        <v>41060</v>
      </c>
      <c r="G44" s="40">
        <f t="shared" si="1"/>
        <v>0</v>
      </c>
      <c r="H44" s="41" t="str">
        <f>"odsetki do 2012-05-31"</f>
        <v>odsetki do 2012-05-31</v>
      </c>
      <c r="I44" s="42"/>
      <c r="J44" s="43"/>
    </row>
    <row r="45" spans="1:10" ht="12" customHeight="1">
      <c r="A45" s="6"/>
      <c r="B45" s="56" t="s">
        <v>36</v>
      </c>
      <c r="C45" s="57">
        <v>41080</v>
      </c>
      <c r="D45" s="58"/>
      <c r="E45" s="58">
        <v>1000000</v>
      </c>
      <c r="F45" s="57">
        <v>41090</v>
      </c>
      <c r="G45" s="40">
        <f t="shared" si="1"/>
        <v>0</v>
      </c>
      <c r="H45" s="41" t="str">
        <f>"odsetki do 2012-06-30"</f>
        <v>odsetki do 2012-06-30</v>
      </c>
      <c r="I45" s="42"/>
      <c r="J45" s="43"/>
    </row>
    <row r="46" spans="1:10" ht="12" customHeight="1">
      <c r="A46" s="6"/>
      <c r="B46" s="56" t="s">
        <v>37</v>
      </c>
      <c r="C46" s="57">
        <v>41121</v>
      </c>
      <c r="D46" s="58"/>
      <c r="E46" s="58">
        <v>1000000</v>
      </c>
      <c r="F46" s="57">
        <v>41121</v>
      </c>
      <c r="G46" s="40">
        <f t="shared" si="1"/>
        <v>0</v>
      </c>
      <c r="H46" s="41" t="str">
        <f>"odsetki do 2012-07-31"</f>
        <v>odsetki do 2012-07-31</v>
      </c>
      <c r="I46" s="42">
        <f>SUM(G43:G45)</f>
        <v>0</v>
      </c>
      <c r="J46" s="43">
        <v>41100</v>
      </c>
    </row>
    <row r="47" spans="1:10" ht="12" customHeight="1">
      <c r="A47" s="6"/>
      <c r="B47" s="56" t="s">
        <v>38</v>
      </c>
      <c r="C47" s="57">
        <v>41152</v>
      </c>
      <c r="D47" s="58"/>
      <c r="E47" s="58">
        <v>1000000</v>
      </c>
      <c r="F47" s="57">
        <v>41152</v>
      </c>
      <c r="G47" s="40">
        <f t="shared" si="1"/>
        <v>0</v>
      </c>
      <c r="H47" s="41" t="str">
        <f>"odsetki do 2012-08-31"</f>
        <v>odsetki do 2012-08-31</v>
      </c>
      <c r="I47" s="42"/>
      <c r="J47" s="43"/>
    </row>
    <row r="48" spans="1:10" ht="12" customHeight="1">
      <c r="A48" s="6"/>
      <c r="B48" s="56" t="s">
        <v>39</v>
      </c>
      <c r="C48" s="57">
        <v>41172</v>
      </c>
      <c r="D48" s="58"/>
      <c r="E48" s="58">
        <v>1000000</v>
      </c>
      <c r="F48" s="57">
        <v>41182</v>
      </c>
      <c r="G48" s="40">
        <f>E47*I$15*(F48-F47)/365</f>
        <v>0</v>
      </c>
      <c r="H48" s="41" t="str">
        <f>"odsetki do 2012-09-30"</f>
        <v>odsetki do 2012-09-30</v>
      </c>
      <c r="I48" s="42"/>
      <c r="J48" s="43"/>
    </row>
    <row r="49" spans="1:10" ht="12" customHeight="1">
      <c r="A49" s="6"/>
      <c r="B49" s="56" t="s">
        <v>40</v>
      </c>
      <c r="C49" s="57">
        <v>41213</v>
      </c>
      <c r="D49" s="58"/>
      <c r="E49" s="58">
        <v>1000000</v>
      </c>
      <c r="F49" s="57">
        <v>41213</v>
      </c>
      <c r="G49" s="40">
        <f t="shared" si="1"/>
        <v>0</v>
      </c>
      <c r="H49" s="41" t="str">
        <f>"odsetki do 2012-10-31"</f>
        <v>odsetki do 2012-10-31</v>
      </c>
      <c r="I49" s="42">
        <f>SUM(G46:G48)</f>
        <v>0</v>
      </c>
      <c r="J49" s="43">
        <v>41192</v>
      </c>
    </row>
    <row r="50" spans="1:10" ht="12" customHeight="1">
      <c r="A50" s="6"/>
      <c r="B50" s="56" t="s">
        <v>41</v>
      </c>
      <c r="C50" s="57">
        <v>41243</v>
      </c>
      <c r="D50" s="58">
        <v>10000</v>
      </c>
      <c r="E50" s="58">
        <v>990000</v>
      </c>
      <c r="F50" s="57">
        <v>41243</v>
      </c>
      <c r="G50" s="40">
        <f t="shared" si="1"/>
        <v>0</v>
      </c>
      <c r="H50" s="41" t="str">
        <f>"odsetki do 2012-11-30"</f>
        <v>odsetki do 2012-11-30</v>
      </c>
      <c r="I50" s="42"/>
      <c r="J50" s="43"/>
    </row>
    <row r="51" spans="1:10" ht="12" customHeight="1">
      <c r="A51" s="6"/>
      <c r="B51" s="56" t="s">
        <v>42</v>
      </c>
      <c r="C51" s="57">
        <v>41263</v>
      </c>
      <c r="D51" s="58"/>
      <c r="E51" s="58">
        <v>990000</v>
      </c>
      <c r="F51" s="57">
        <v>41274</v>
      </c>
      <c r="G51" s="40">
        <f t="shared" si="1"/>
        <v>0</v>
      </c>
      <c r="H51" s="41" t="str">
        <f>"odsetki do 2012-12-31"</f>
        <v>odsetki do 2012-12-31</v>
      </c>
      <c r="I51" s="42"/>
      <c r="J51" s="43"/>
    </row>
    <row r="52" spans="1:10" ht="12" customHeight="1">
      <c r="A52" s="6"/>
      <c r="B52" s="56" t="s">
        <v>43</v>
      </c>
      <c r="C52" s="57">
        <v>41305</v>
      </c>
      <c r="D52" s="58"/>
      <c r="E52" s="58">
        <v>990000</v>
      </c>
      <c r="F52" s="57">
        <v>41305</v>
      </c>
      <c r="G52" s="40">
        <f t="shared" si="1"/>
        <v>0</v>
      </c>
      <c r="H52" s="41" t="str">
        <f>"odsetki do 2013-01-31"</f>
        <v>odsetki do 2013-01-31</v>
      </c>
      <c r="I52" s="42">
        <f>SUM(G49:G51)</f>
        <v>0</v>
      </c>
      <c r="J52" s="43">
        <v>41284</v>
      </c>
    </row>
    <row r="53" spans="1:10" ht="12" customHeight="1">
      <c r="A53" s="6"/>
      <c r="B53" s="56" t="s">
        <v>44</v>
      </c>
      <c r="C53" s="57">
        <v>41333</v>
      </c>
      <c r="D53" s="58"/>
      <c r="E53" s="58">
        <v>990000</v>
      </c>
      <c r="F53" s="57">
        <v>41333</v>
      </c>
      <c r="G53" s="40">
        <f t="shared" si="1"/>
        <v>0</v>
      </c>
      <c r="H53" s="41" t="str">
        <f>"odsetki do 2013-02-28"</f>
        <v>odsetki do 2013-02-28</v>
      </c>
      <c r="I53" s="42"/>
      <c r="J53" s="43"/>
    </row>
    <row r="54" spans="1:10" ht="12" customHeight="1">
      <c r="A54" s="6"/>
      <c r="B54" s="56" t="s">
        <v>45</v>
      </c>
      <c r="C54" s="57">
        <v>41353</v>
      </c>
      <c r="D54" s="58"/>
      <c r="E54" s="58">
        <v>990000</v>
      </c>
      <c r="F54" s="57">
        <v>41364</v>
      </c>
      <c r="G54" s="40">
        <f>E53*I$15*(F54-F53)/365</f>
        <v>0</v>
      </c>
      <c r="H54" s="41" t="str">
        <f>"odsetki do 2013-03-31"</f>
        <v>odsetki do 2013-03-31</v>
      </c>
      <c r="I54" s="42"/>
      <c r="J54" s="43"/>
    </row>
    <row r="55" spans="1:10" ht="12" customHeight="1">
      <c r="A55" s="6"/>
      <c r="B55" s="56" t="s">
        <v>46</v>
      </c>
      <c r="C55" s="57">
        <v>41394</v>
      </c>
      <c r="D55" s="58"/>
      <c r="E55" s="58">
        <v>990000</v>
      </c>
      <c r="F55" s="57">
        <v>41394</v>
      </c>
      <c r="G55" s="40">
        <f t="shared" si="1"/>
        <v>0</v>
      </c>
      <c r="H55" s="41" t="str">
        <f>"odsetki do 2013-04-30"</f>
        <v>odsetki do 2013-04-30</v>
      </c>
      <c r="I55" s="42">
        <f>SUM(G52:G54)</f>
        <v>0</v>
      </c>
      <c r="J55" s="43">
        <v>41374</v>
      </c>
    </row>
    <row r="56" spans="1:10" ht="12" customHeight="1">
      <c r="A56" s="6"/>
      <c r="B56" s="56" t="s">
        <v>47</v>
      </c>
      <c r="C56" s="57">
        <v>41425</v>
      </c>
      <c r="D56" s="58"/>
      <c r="E56" s="58">
        <v>990000</v>
      </c>
      <c r="F56" s="57">
        <v>41425</v>
      </c>
      <c r="G56" s="40">
        <f t="shared" si="1"/>
        <v>0</v>
      </c>
      <c r="H56" s="41" t="str">
        <f>"odsetki do 2013-05-31"</f>
        <v>odsetki do 2013-05-31</v>
      </c>
      <c r="I56" s="42"/>
      <c r="J56" s="43"/>
    </row>
    <row r="57" spans="1:10" ht="12" customHeight="1">
      <c r="A57" s="6"/>
      <c r="B57" s="56" t="s">
        <v>48</v>
      </c>
      <c r="C57" s="57">
        <v>41445</v>
      </c>
      <c r="D57" s="58"/>
      <c r="E57" s="58">
        <v>990000</v>
      </c>
      <c r="F57" s="57">
        <v>41455</v>
      </c>
      <c r="G57" s="40">
        <f t="shared" si="1"/>
        <v>0</v>
      </c>
      <c r="H57" s="41" t="str">
        <f>"odsetki do 2013-06-30"</f>
        <v>odsetki do 2013-06-30</v>
      </c>
      <c r="I57" s="42"/>
      <c r="J57" s="43"/>
    </row>
    <row r="58" spans="1:10" ht="12" customHeight="1">
      <c r="A58" s="6"/>
      <c r="B58" s="56" t="s">
        <v>49</v>
      </c>
      <c r="C58" s="57">
        <v>41486</v>
      </c>
      <c r="D58" s="58"/>
      <c r="E58" s="58">
        <v>990000</v>
      </c>
      <c r="F58" s="57">
        <v>41486</v>
      </c>
      <c r="G58" s="40">
        <f t="shared" si="1"/>
        <v>0</v>
      </c>
      <c r="H58" s="41" t="str">
        <f>"odsetki do 2013-07-31"</f>
        <v>odsetki do 2013-07-31</v>
      </c>
      <c r="I58" s="42">
        <f>SUM(G55:G57)</f>
        <v>0</v>
      </c>
      <c r="J58" s="43">
        <v>41465</v>
      </c>
    </row>
    <row r="59" spans="1:10" ht="12" customHeight="1">
      <c r="A59" s="6"/>
      <c r="B59" s="56" t="s">
        <v>50</v>
      </c>
      <c r="C59" s="57">
        <v>41517</v>
      </c>
      <c r="D59" s="58"/>
      <c r="E59" s="58">
        <v>990000</v>
      </c>
      <c r="F59" s="57">
        <v>41517</v>
      </c>
      <c r="G59" s="40">
        <f t="shared" si="1"/>
        <v>0</v>
      </c>
      <c r="H59" s="41" t="str">
        <f>"odsetki do 2013-08-31"</f>
        <v>odsetki do 2013-08-31</v>
      </c>
      <c r="I59" s="42"/>
      <c r="J59" s="43"/>
    </row>
    <row r="60" spans="1:10" ht="12" customHeight="1">
      <c r="A60" s="6"/>
      <c r="B60" s="56" t="s">
        <v>51</v>
      </c>
      <c r="C60" s="57">
        <v>41537</v>
      </c>
      <c r="D60" s="58"/>
      <c r="E60" s="58">
        <v>990000</v>
      </c>
      <c r="F60" s="57">
        <v>41547</v>
      </c>
      <c r="G60" s="40">
        <f t="shared" si="1"/>
        <v>0</v>
      </c>
      <c r="H60" s="41" t="str">
        <f>"odsetki do 2013-09-30"</f>
        <v>odsetki do 2013-09-30</v>
      </c>
      <c r="I60" s="42"/>
      <c r="J60" s="43"/>
    </row>
    <row r="61" spans="1:10" ht="12" customHeight="1">
      <c r="A61" s="6"/>
      <c r="B61" s="56" t="s">
        <v>52</v>
      </c>
      <c r="C61" s="57">
        <v>41578</v>
      </c>
      <c r="D61" s="58"/>
      <c r="E61" s="58">
        <v>990000</v>
      </c>
      <c r="F61" s="57">
        <v>41578</v>
      </c>
      <c r="G61" s="40">
        <f>E60*I$15*(F61-F60)/365</f>
        <v>0</v>
      </c>
      <c r="H61" s="41" t="str">
        <f>"odsetki do 2013-10-31"</f>
        <v>odsetki do 2013-10-31</v>
      </c>
      <c r="I61" s="42">
        <f>SUM(G58:G60)</f>
        <v>0</v>
      </c>
      <c r="J61" s="43">
        <v>41557</v>
      </c>
    </row>
    <row r="62" spans="1:10" ht="12" customHeight="1">
      <c r="A62" s="6"/>
      <c r="B62" s="56" t="s">
        <v>53</v>
      </c>
      <c r="C62" s="57">
        <v>41608</v>
      </c>
      <c r="D62" s="58">
        <v>130000</v>
      </c>
      <c r="E62" s="58">
        <v>860000</v>
      </c>
      <c r="F62" s="57">
        <v>41608</v>
      </c>
      <c r="G62" s="40">
        <f aca="true" t="shared" si="2" ref="G62:G92">E61*I$15*(F62-F61)/365</f>
        <v>0</v>
      </c>
      <c r="H62" s="41" t="str">
        <f>"odsetki do 2013-11-30"</f>
        <v>odsetki do 2013-11-30</v>
      </c>
      <c r="I62" s="42"/>
      <c r="J62" s="43"/>
    </row>
    <row r="63" spans="1:10" ht="12" customHeight="1">
      <c r="A63" s="6"/>
      <c r="B63" s="56" t="s">
        <v>54</v>
      </c>
      <c r="C63" s="57">
        <v>41628</v>
      </c>
      <c r="D63" s="58"/>
      <c r="E63" s="58">
        <v>860000</v>
      </c>
      <c r="F63" s="57">
        <v>41639</v>
      </c>
      <c r="G63" s="40">
        <f>E62*I$15*(F63-F62)/365</f>
        <v>0</v>
      </c>
      <c r="H63" s="41" t="str">
        <f>"odsetki do 2013-12-31"</f>
        <v>odsetki do 2013-12-31</v>
      </c>
      <c r="I63" s="42"/>
      <c r="J63" s="43"/>
    </row>
    <row r="64" spans="1:10" ht="12" customHeight="1">
      <c r="A64" s="6"/>
      <c r="B64" s="56" t="s">
        <v>55</v>
      </c>
      <c r="C64" s="57">
        <v>41670</v>
      </c>
      <c r="D64" s="58"/>
      <c r="E64" s="58">
        <v>860000</v>
      </c>
      <c r="F64" s="57">
        <v>41670</v>
      </c>
      <c r="G64" s="40">
        <f t="shared" si="2"/>
        <v>0</v>
      </c>
      <c r="H64" s="41" t="str">
        <f>"odsetki do 2014-01-31"</f>
        <v>odsetki do 2014-01-31</v>
      </c>
      <c r="I64" s="42">
        <f>SUM(G61:G63)</f>
        <v>0</v>
      </c>
      <c r="J64" s="43">
        <v>41649</v>
      </c>
    </row>
    <row r="65" spans="1:10" ht="12" customHeight="1">
      <c r="A65" s="6"/>
      <c r="B65" s="56" t="s">
        <v>56</v>
      </c>
      <c r="C65" s="57">
        <v>41698</v>
      </c>
      <c r="D65" s="58"/>
      <c r="E65" s="58">
        <v>860000</v>
      </c>
      <c r="F65" s="57">
        <v>41698</v>
      </c>
      <c r="G65" s="40">
        <f t="shared" si="2"/>
        <v>0</v>
      </c>
      <c r="H65" s="41" t="str">
        <f>"odsetki do 2014-02-28"</f>
        <v>odsetki do 2014-02-28</v>
      </c>
      <c r="I65" s="42"/>
      <c r="J65" s="43"/>
    </row>
    <row r="66" spans="1:10" ht="12" customHeight="1">
      <c r="A66" s="6"/>
      <c r="B66" s="56" t="s">
        <v>57</v>
      </c>
      <c r="C66" s="57">
        <v>41718</v>
      </c>
      <c r="D66" s="58"/>
      <c r="E66" s="58">
        <v>860000</v>
      </c>
      <c r="F66" s="57">
        <v>41729</v>
      </c>
      <c r="G66" s="40">
        <f t="shared" si="2"/>
        <v>0</v>
      </c>
      <c r="H66" s="41" t="str">
        <f>"odsetki do 2014-03-31"</f>
        <v>odsetki do 2014-03-31</v>
      </c>
      <c r="I66" s="42"/>
      <c r="J66" s="43"/>
    </row>
    <row r="67" spans="1:10" ht="12" customHeight="1">
      <c r="A67" s="6"/>
      <c r="B67" s="56" t="s">
        <v>58</v>
      </c>
      <c r="C67" s="57">
        <v>41759</v>
      </c>
      <c r="D67" s="58"/>
      <c r="E67" s="58">
        <v>860000</v>
      </c>
      <c r="F67" s="57">
        <v>41759</v>
      </c>
      <c r="G67" s="40">
        <f t="shared" si="2"/>
        <v>0</v>
      </c>
      <c r="H67" s="41" t="str">
        <f>"odsetki do 2014-04-30"</f>
        <v>odsetki do 2014-04-30</v>
      </c>
      <c r="I67" s="42">
        <f>SUM(G64:G66)</f>
        <v>0</v>
      </c>
      <c r="J67" s="43">
        <v>41739</v>
      </c>
    </row>
    <row r="68" spans="1:10" ht="12" customHeight="1">
      <c r="A68" s="6"/>
      <c r="B68" s="56" t="s">
        <v>59</v>
      </c>
      <c r="C68" s="57">
        <v>41790</v>
      </c>
      <c r="D68" s="58"/>
      <c r="E68" s="58">
        <v>860000</v>
      </c>
      <c r="F68" s="57">
        <v>41790</v>
      </c>
      <c r="G68" s="40">
        <f t="shared" si="2"/>
        <v>0</v>
      </c>
      <c r="H68" s="41" t="str">
        <f>"odsetki do 2014-05-31"</f>
        <v>odsetki do 2014-05-31</v>
      </c>
      <c r="I68" s="42"/>
      <c r="J68" s="43"/>
    </row>
    <row r="69" spans="1:10" ht="12" customHeight="1">
      <c r="A69" s="6"/>
      <c r="B69" s="56" t="s">
        <v>60</v>
      </c>
      <c r="C69" s="57">
        <v>41810</v>
      </c>
      <c r="D69" s="58"/>
      <c r="E69" s="58">
        <v>860000</v>
      </c>
      <c r="F69" s="57">
        <v>41820</v>
      </c>
      <c r="G69" s="40">
        <f t="shared" si="2"/>
        <v>0</v>
      </c>
      <c r="H69" s="41" t="str">
        <f>"odsetki do 2014-06-30"</f>
        <v>odsetki do 2014-06-30</v>
      </c>
      <c r="I69" s="42"/>
      <c r="J69" s="43"/>
    </row>
    <row r="70" spans="1:10" ht="12" customHeight="1">
      <c r="A70" s="6"/>
      <c r="B70" s="56" t="s">
        <v>61</v>
      </c>
      <c r="C70" s="57">
        <v>41851</v>
      </c>
      <c r="D70" s="58"/>
      <c r="E70" s="58">
        <v>860000</v>
      </c>
      <c r="F70" s="57">
        <v>41851</v>
      </c>
      <c r="G70" s="40">
        <f t="shared" si="2"/>
        <v>0</v>
      </c>
      <c r="H70" s="41" t="str">
        <f>"odsetki do 2014-07-31"</f>
        <v>odsetki do 2014-07-31</v>
      </c>
      <c r="I70" s="42">
        <f>SUM(G67:G69)</f>
        <v>0</v>
      </c>
      <c r="J70" s="43">
        <v>41830</v>
      </c>
    </row>
    <row r="71" spans="1:10" ht="12" customHeight="1">
      <c r="A71" s="6"/>
      <c r="B71" s="56" t="s">
        <v>62</v>
      </c>
      <c r="C71" s="57">
        <v>41882</v>
      </c>
      <c r="D71" s="58"/>
      <c r="E71" s="58">
        <v>860000</v>
      </c>
      <c r="F71" s="57">
        <v>41882</v>
      </c>
      <c r="G71" s="40">
        <f t="shared" si="2"/>
        <v>0</v>
      </c>
      <c r="H71" s="41" t="str">
        <f>"odsetki do 2014-08-31"</f>
        <v>odsetki do 2014-08-31</v>
      </c>
      <c r="I71" s="42"/>
      <c r="J71" s="43"/>
    </row>
    <row r="72" spans="1:10" ht="12" customHeight="1">
      <c r="A72" s="6"/>
      <c r="B72" s="56" t="s">
        <v>63</v>
      </c>
      <c r="C72" s="57">
        <v>41902</v>
      </c>
      <c r="D72" s="58"/>
      <c r="E72" s="58">
        <v>860000</v>
      </c>
      <c r="F72" s="57">
        <v>41912</v>
      </c>
      <c r="G72" s="40">
        <f t="shared" si="2"/>
        <v>0</v>
      </c>
      <c r="H72" s="41" t="str">
        <f>"odsetki do 2014-09-30"</f>
        <v>odsetki do 2014-09-30</v>
      </c>
      <c r="I72" s="42"/>
      <c r="J72" s="43"/>
    </row>
    <row r="73" spans="1:10" ht="12" customHeight="1">
      <c r="A73" s="6"/>
      <c r="B73" s="56" t="s">
        <v>64</v>
      </c>
      <c r="C73" s="57">
        <v>41943</v>
      </c>
      <c r="D73" s="58"/>
      <c r="E73" s="58">
        <v>860000</v>
      </c>
      <c r="F73" s="57">
        <v>41943</v>
      </c>
      <c r="G73" s="40">
        <f t="shared" si="2"/>
        <v>0</v>
      </c>
      <c r="H73" s="41" t="str">
        <f>"odsetki do 2014-10-31"</f>
        <v>odsetki do 2014-10-31</v>
      </c>
      <c r="I73" s="42">
        <f>SUM(G70:G72)</f>
        <v>0</v>
      </c>
      <c r="J73" s="43">
        <v>41922</v>
      </c>
    </row>
    <row r="74" spans="1:10" ht="12" customHeight="1">
      <c r="A74" s="6"/>
      <c r="B74" s="56" t="s">
        <v>65</v>
      </c>
      <c r="C74" s="57">
        <v>41973</v>
      </c>
      <c r="D74" s="58">
        <v>130000</v>
      </c>
      <c r="E74" s="58">
        <v>730000</v>
      </c>
      <c r="F74" s="57">
        <v>41973</v>
      </c>
      <c r="G74" s="40">
        <f>E73*I$15*(F74-F73)/365</f>
        <v>0</v>
      </c>
      <c r="H74" s="41" t="str">
        <f>"odsetki do 2014-11-30"</f>
        <v>odsetki do 2014-11-30</v>
      </c>
      <c r="I74" s="42"/>
      <c r="J74" s="43"/>
    </row>
    <row r="75" spans="1:10" ht="12" customHeight="1">
      <c r="A75" s="6"/>
      <c r="B75" s="56" t="s">
        <v>66</v>
      </c>
      <c r="C75" s="57">
        <v>41993</v>
      </c>
      <c r="D75" s="58"/>
      <c r="E75" s="58">
        <v>730000</v>
      </c>
      <c r="F75" s="57">
        <v>42004</v>
      </c>
      <c r="G75" s="40">
        <f>E74*I$15*(F75-F74)/365</f>
        <v>0</v>
      </c>
      <c r="H75" s="41" t="str">
        <f>"odsetki do 2014-12-31"</f>
        <v>odsetki do 2014-12-31</v>
      </c>
      <c r="I75" s="42"/>
      <c r="J75" s="43"/>
    </row>
    <row r="76" spans="1:10" ht="12" customHeight="1">
      <c r="A76" s="6"/>
      <c r="B76" s="56" t="s">
        <v>67</v>
      </c>
      <c r="C76" s="57">
        <v>42035</v>
      </c>
      <c r="D76" s="58"/>
      <c r="E76" s="58">
        <v>730000</v>
      </c>
      <c r="F76" s="57">
        <v>42035</v>
      </c>
      <c r="G76" s="40">
        <f t="shared" si="2"/>
        <v>0</v>
      </c>
      <c r="H76" s="41" t="str">
        <f>"odsetki do 2015-01-31"</f>
        <v>odsetki do 2015-01-31</v>
      </c>
      <c r="I76" s="42">
        <f>SUM(G73:G75)</f>
        <v>0</v>
      </c>
      <c r="J76" s="43">
        <v>42014</v>
      </c>
    </row>
    <row r="77" spans="1:10" ht="12" customHeight="1">
      <c r="A77" s="6"/>
      <c r="B77" s="56" t="s">
        <v>68</v>
      </c>
      <c r="C77" s="57">
        <v>42063</v>
      </c>
      <c r="D77" s="58"/>
      <c r="E77" s="58">
        <v>730000</v>
      </c>
      <c r="F77" s="57">
        <v>42063</v>
      </c>
      <c r="G77" s="40">
        <f t="shared" si="2"/>
        <v>0</v>
      </c>
      <c r="H77" s="41" t="str">
        <f>"odsetki do 2015-02-28"</f>
        <v>odsetki do 2015-02-28</v>
      </c>
      <c r="I77" s="42"/>
      <c r="J77" s="43"/>
    </row>
    <row r="78" spans="1:10" ht="12" customHeight="1">
      <c r="A78" s="6"/>
      <c r="B78" s="56" t="s">
        <v>69</v>
      </c>
      <c r="C78" s="57">
        <v>42083</v>
      </c>
      <c r="D78" s="58"/>
      <c r="E78" s="58">
        <v>730000</v>
      </c>
      <c r="F78" s="57">
        <v>42094</v>
      </c>
      <c r="G78" s="40">
        <f t="shared" si="2"/>
        <v>0</v>
      </c>
      <c r="H78" s="41" t="str">
        <f>"odsetki do 2015-03-31"</f>
        <v>odsetki do 2015-03-31</v>
      </c>
      <c r="I78" s="42"/>
      <c r="J78" s="43"/>
    </row>
    <row r="79" spans="1:10" ht="12" customHeight="1">
      <c r="A79" s="6"/>
      <c r="B79" s="56" t="s">
        <v>70</v>
      </c>
      <c r="C79" s="57">
        <v>42124</v>
      </c>
      <c r="D79" s="58"/>
      <c r="E79" s="58">
        <v>730000</v>
      </c>
      <c r="F79" s="57">
        <v>42124</v>
      </c>
      <c r="G79" s="40">
        <f t="shared" si="2"/>
        <v>0</v>
      </c>
      <c r="H79" s="41" t="str">
        <f>"odsetki do 2015-04-30"</f>
        <v>odsetki do 2015-04-30</v>
      </c>
      <c r="I79" s="42">
        <f>SUM(G76:G78)</f>
        <v>0</v>
      </c>
      <c r="J79" s="43">
        <v>42104</v>
      </c>
    </row>
    <row r="80" spans="1:10" ht="12" customHeight="1">
      <c r="A80" s="6"/>
      <c r="B80" s="56" t="s">
        <v>71</v>
      </c>
      <c r="C80" s="57">
        <v>42155</v>
      </c>
      <c r="D80" s="58"/>
      <c r="E80" s="58">
        <v>730000</v>
      </c>
      <c r="F80" s="57">
        <v>42155</v>
      </c>
      <c r="G80" s="40">
        <f t="shared" si="2"/>
        <v>0</v>
      </c>
      <c r="H80" s="41" t="str">
        <f>"odsetki do 2015-05-31"</f>
        <v>odsetki do 2015-05-31</v>
      </c>
      <c r="I80" s="42"/>
      <c r="J80" s="43"/>
    </row>
    <row r="81" spans="1:10" ht="12" customHeight="1">
      <c r="A81" s="6"/>
      <c r="B81" s="56" t="s">
        <v>72</v>
      </c>
      <c r="C81" s="57">
        <v>42175</v>
      </c>
      <c r="D81" s="58"/>
      <c r="E81" s="58">
        <v>730000</v>
      </c>
      <c r="F81" s="57">
        <v>42185</v>
      </c>
      <c r="G81" s="40">
        <f t="shared" si="2"/>
        <v>0</v>
      </c>
      <c r="H81" s="41" t="str">
        <f>"odsetki do 2015-06-30"</f>
        <v>odsetki do 2015-06-30</v>
      </c>
      <c r="I81" s="42"/>
      <c r="J81" s="43"/>
    </row>
    <row r="82" spans="1:10" ht="12" customHeight="1">
      <c r="A82" s="6"/>
      <c r="B82" s="56" t="s">
        <v>73</v>
      </c>
      <c r="C82" s="57">
        <v>42216</v>
      </c>
      <c r="D82" s="58"/>
      <c r="E82" s="58">
        <v>730000</v>
      </c>
      <c r="F82" s="57">
        <v>42216</v>
      </c>
      <c r="G82" s="40">
        <f t="shared" si="2"/>
        <v>0</v>
      </c>
      <c r="H82" s="41" t="str">
        <f>"odsetki do 2015-07-31"</f>
        <v>odsetki do 2015-07-31</v>
      </c>
      <c r="I82" s="42">
        <f>SUM(G79:G81)</f>
        <v>0</v>
      </c>
      <c r="J82" s="43">
        <v>42195</v>
      </c>
    </row>
    <row r="83" spans="1:10" ht="12" customHeight="1">
      <c r="A83" s="6"/>
      <c r="B83" s="56" t="s">
        <v>74</v>
      </c>
      <c r="C83" s="57">
        <v>42247</v>
      </c>
      <c r="D83" s="58"/>
      <c r="E83" s="58">
        <v>730000</v>
      </c>
      <c r="F83" s="57">
        <v>42247</v>
      </c>
      <c r="G83" s="40">
        <f t="shared" si="2"/>
        <v>0</v>
      </c>
      <c r="H83" s="41" t="str">
        <f>"odsetki do 2015-08-31"</f>
        <v>odsetki do 2015-08-31</v>
      </c>
      <c r="I83" s="42"/>
      <c r="J83" s="43"/>
    </row>
    <row r="84" spans="1:10" ht="12" customHeight="1">
      <c r="A84" s="6"/>
      <c r="B84" s="56" t="s">
        <v>75</v>
      </c>
      <c r="C84" s="57">
        <v>42267</v>
      </c>
      <c r="D84" s="58"/>
      <c r="E84" s="58">
        <v>730000</v>
      </c>
      <c r="F84" s="57">
        <v>42277</v>
      </c>
      <c r="G84" s="40">
        <f t="shared" si="2"/>
        <v>0</v>
      </c>
      <c r="H84" s="41" t="str">
        <f>"odsetki do 2015-09-30"</f>
        <v>odsetki do 2015-09-30</v>
      </c>
      <c r="I84" s="42"/>
      <c r="J84" s="43"/>
    </row>
    <row r="85" spans="1:10" ht="12" customHeight="1">
      <c r="A85" s="6"/>
      <c r="B85" s="56" t="s">
        <v>76</v>
      </c>
      <c r="C85" s="57">
        <v>42308</v>
      </c>
      <c r="D85" s="58"/>
      <c r="E85" s="58">
        <v>730000</v>
      </c>
      <c r="F85" s="57">
        <v>42308</v>
      </c>
      <c r="G85" s="40">
        <f t="shared" si="2"/>
        <v>0</v>
      </c>
      <c r="H85" s="41" t="str">
        <f>"odsetki do 2015-10-31"</f>
        <v>odsetki do 2015-10-31</v>
      </c>
      <c r="I85" s="42">
        <f>SUM(G82:G84)</f>
        <v>0</v>
      </c>
      <c r="J85" s="43">
        <v>42287</v>
      </c>
    </row>
    <row r="86" spans="1:10" ht="12" customHeight="1">
      <c r="A86" s="6"/>
      <c r="B86" s="56" t="s">
        <v>77</v>
      </c>
      <c r="C86" s="57">
        <v>42338</v>
      </c>
      <c r="D86" s="58">
        <v>130000</v>
      </c>
      <c r="E86" s="58">
        <v>600000</v>
      </c>
      <c r="F86" s="57">
        <v>42338</v>
      </c>
      <c r="G86" s="40">
        <f t="shared" si="2"/>
        <v>0</v>
      </c>
      <c r="H86" s="41" t="str">
        <f>"odsetki do 2015-11-30"</f>
        <v>odsetki do 2015-11-30</v>
      </c>
      <c r="I86" s="42"/>
      <c r="J86" s="43"/>
    </row>
    <row r="87" spans="1:10" ht="12" customHeight="1">
      <c r="A87" s="6"/>
      <c r="B87" s="56" t="s">
        <v>78</v>
      </c>
      <c r="C87" s="57">
        <v>42358</v>
      </c>
      <c r="D87" s="58"/>
      <c r="E87" s="58">
        <v>600000</v>
      </c>
      <c r="F87" s="57">
        <v>42369</v>
      </c>
      <c r="G87" s="40">
        <f t="shared" si="2"/>
        <v>0</v>
      </c>
      <c r="H87" s="41" t="str">
        <f>"odsetki do 2015-12-31"</f>
        <v>odsetki do 2015-12-31</v>
      </c>
      <c r="I87" s="42"/>
      <c r="J87" s="43"/>
    </row>
    <row r="88" spans="1:10" ht="12" customHeight="1">
      <c r="A88" s="6"/>
      <c r="B88" s="56" t="s">
        <v>79</v>
      </c>
      <c r="C88" s="57">
        <v>42400</v>
      </c>
      <c r="D88" s="58"/>
      <c r="E88" s="58">
        <v>600000</v>
      </c>
      <c r="F88" s="57">
        <v>42400</v>
      </c>
      <c r="G88" s="40">
        <f t="shared" si="2"/>
        <v>0</v>
      </c>
      <c r="H88" s="41" t="str">
        <f>"odsetki do 2016-01-31"</f>
        <v>odsetki do 2016-01-31</v>
      </c>
      <c r="I88" s="42">
        <f>SUM(G85:G87)</f>
        <v>0</v>
      </c>
      <c r="J88" s="43">
        <v>42379</v>
      </c>
    </row>
    <row r="89" spans="1:10" ht="12" customHeight="1">
      <c r="A89" s="6"/>
      <c r="B89" s="56" t="s">
        <v>80</v>
      </c>
      <c r="C89" s="57">
        <v>42429</v>
      </c>
      <c r="D89" s="58"/>
      <c r="E89" s="58">
        <v>600000</v>
      </c>
      <c r="F89" s="57">
        <v>42429</v>
      </c>
      <c r="G89" s="40">
        <f t="shared" si="2"/>
        <v>0</v>
      </c>
      <c r="H89" s="41" t="str">
        <f>"odsetki do 2016-02-29"</f>
        <v>odsetki do 2016-02-29</v>
      </c>
      <c r="I89" s="42"/>
      <c r="J89" s="43"/>
    </row>
    <row r="90" spans="1:10" ht="12" customHeight="1">
      <c r="A90" s="6"/>
      <c r="B90" s="56" t="s">
        <v>81</v>
      </c>
      <c r="C90" s="57">
        <v>42449</v>
      </c>
      <c r="D90" s="58"/>
      <c r="E90" s="58">
        <v>600000</v>
      </c>
      <c r="F90" s="57">
        <v>42460</v>
      </c>
      <c r="G90" s="40">
        <f t="shared" si="2"/>
        <v>0</v>
      </c>
      <c r="H90" s="41" t="str">
        <f>"odsetki do 2016-03-31"</f>
        <v>odsetki do 2016-03-31</v>
      </c>
      <c r="I90" s="42"/>
      <c r="J90" s="43"/>
    </row>
    <row r="91" spans="1:10" ht="12" customHeight="1">
      <c r="A91" s="6"/>
      <c r="B91" s="56" t="s">
        <v>82</v>
      </c>
      <c r="C91" s="57">
        <v>42490</v>
      </c>
      <c r="D91" s="58"/>
      <c r="E91" s="58">
        <v>600000</v>
      </c>
      <c r="F91" s="57">
        <v>42490</v>
      </c>
      <c r="G91" s="40">
        <f t="shared" si="2"/>
        <v>0</v>
      </c>
      <c r="H91" s="41" t="str">
        <f>"odsetki do 2016-04-30"</f>
        <v>odsetki do 2016-04-30</v>
      </c>
      <c r="I91" s="42">
        <f>SUM(G88:G90)</f>
        <v>0</v>
      </c>
      <c r="J91" s="43">
        <v>42470</v>
      </c>
    </row>
    <row r="92" spans="1:10" ht="12" customHeight="1">
      <c r="A92" s="6"/>
      <c r="B92" s="56" t="s">
        <v>83</v>
      </c>
      <c r="C92" s="57">
        <v>42521</v>
      </c>
      <c r="D92" s="58"/>
      <c r="E92" s="58">
        <v>600000</v>
      </c>
      <c r="F92" s="57">
        <v>42521</v>
      </c>
      <c r="G92" s="40">
        <f t="shared" si="2"/>
        <v>0</v>
      </c>
      <c r="H92" s="41" t="str">
        <f>"odsetki do 2016-05-31"</f>
        <v>odsetki do 2016-05-31</v>
      </c>
      <c r="I92" s="42"/>
      <c r="J92" s="43"/>
    </row>
    <row r="93" spans="1:10" ht="12" customHeight="1">
      <c r="A93" s="6"/>
      <c r="B93" s="56" t="s">
        <v>84</v>
      </c>
      <c r="C93" s="57">
        <v>42551</v>
      </c>
      <c r="D93" s="58"/>
      <c r="E93" s="58">
        <v>600000</v>
      </c>
      <c r="F93" s="57">
        <v>42551</v>
      </c>
      <c r="G93" s="40">
        <f aca="true" t="shared" si="3" ref="G93:G124">E92*I$15*(F93-F92)/365</f>
        <v>0</v>
      </c>
      <c r="H93" s="41" t="str">
        <f>"odsetki do 2016-06-30"</f>
        <v>odsetki do 2016-06-30</v>
      </c>
      <c r="I93" s="42"/>
      <c r="J93" s="43"/>
    </row>
    <row r="94" spans="1:10" ht="12" customHeight="1">
      <c r="A94" s="6"/>
      <c r="B94" s="56" t="s">
        <v>85</v>
      </c>
      <c r="C94" s="57">
        <v>42582</v>
      </c>
      <c r="D94" s="58"/>
      <c r="E94" s="58">
        <v>600000</v>
      </c>
      <c r="F94" s="57">
        <v>42582</v>
      </c>
      <c r="G94" s="40">
        <f t="shared" si="3"/>
        <v>0</v>
      </c>
      <c r="H94" s="41" t="str">
        <f>"odsetki do 2016-07-31"</f>
        <v>odsetki do 2016-07-31</v>
      </c>
      <c r="I94" s="42">
        <f>SUM(G91:G93)</f>
        <v>0</v>
      </c>
      <c r="J94" s="43">
        <v>42561</v>
      </c>
    </row>
    <row r="95" spans="1:10" ht="12" customHeight="1">
      <c r="A95" s="6"/>
      <c r="B95" s="56" t="s">
        <v>86</v>
      </c>
      <c r="C95" s="57">
        <v>42613</v>
      </c>
      <c r="D95" s="58"/>
      <c r="E95" s="58">
        <v>600000</v>
      </c>
      <c r="F95" s="57">
        <v>42613</v>
      </c>
      <c r="G95" s="40">
        <f t="shared" si="3"/>
        <v>0</v>
      </c>
      <c r="H95" s="41" t="str">
        <f>"odsetki do 2016-08-31"</f>
        <v>odsetki do 2016-08-31</v>
      </c>
      <c r="I95" s="42"/>
      <c r="J95" s="43"/>
    </row>
    <row r="96" spans="1:10" ht="12" customHeight="1">
      <c r="A96" s="6"/>
      <c r="B96" s="56" t="s">
        <v>87</v>
      </c>
      <c r="C96" s="57">
        <v>42633</v>
      </c>
      <c r="D96" s="58"/>
      <c r="E96" s="58">
        <v>600000</v>
      </c>
      <c r="F96" s="57">
        <v>42643</v>
      </c>
      <c r="G96" s="40">
        <f t="shared" si="3"/>
        <v>0</v>
      </c>
      <c r="H96" s="41" t="str">
        <f>"odsetki do 2016-09-30"</f>
        <v>odsetki do 2016-09-30</v>
      </c>
      <c r="I96" s="42"/>
      <c r="J96" s="43"/>
    </row>
    <row r="97" spans="1:10" ht="12" customHeight="1">
      <c r="A97" s="6"/>
      <c r="B97" s="56" t="s">
        <v>88</v>
      </c>
      <c r="C97" s="57">
        <v>42674</v>
      </c>
      <c r="D97" s="58"/>
      <c r="E97" s="58">
        <v>600000</v>
      </c>
      <c r="F97" s="57">
        <v>42674</v>
      </c>
      <c r="G97" s="40">
        <f t="shared" si="3"/>
        <v>0</v>
      </c>
      <c r="H97" s="41" t="str">
        <f>"odsetki do 2016-10-31"</f>
        <v>odsetki do 2016-10-31</v>
      </c>
      <c r="I97" s="42">
        <f>SUM(G94:G96)</f>
        <v>0</v>
      </c>
      <c r="J97" s="43">
        <v>42653</v>
      </c>
    </row>
    <row r="98" spans="1:10" ht="12" customHeight="1">
      <c r="A98" s="6"/>
      <c r="B98" s="56" t="s">
        <v>89</v>
      </c>
      <c r="C98" s="57">
        <v>42704</v>
      </c>
      <c r="D98" s="58">
        <v>130000</v>
      </c>
      <c r="E98" s="58">
        <v>470000</v>
      </c>
      <c r="F98" s="57">
        <v>42704</v>
      </c>
      <c r="G98" s="40">
        <f t="shared" si="3"/>
        <v>0</v>
      </c>
      <c r="H98" s="41" t="str">
        <f>"odsetki do 2016-11-30"</f>
        <v>odsetki do 2016-11-30</v>
      </c>
      <c r="I98" s="42"/>
      <c r="J98" s="43"/>
    </row>
    <row r="99" spans="1:10" ht="12" customHeight="1">
      <c r="A99" s="6"/>
      <c r="B99" s="56" t="s">
        <v>90</v>
      </c>
      <c r="C99" s="57">
        <v>42735</v>
      </c>
      <c r="D99" s="58"/>
      <c r="E99" s="58">
        <v>470000</v>
      </c>
      <c r="F99" s="57">
        <v>42735</v>
      </c>
      <c r="G99" s="40">
        <f t="shared" si="3"/>
        <v>0</v>
      </c>
      <c r="H99" s="41" t="str">
        <f>"odsetki do 2016-12-31"</f>
        <v>odsetki do 2016-12-31</v>
      </c>
      <c r="I99" s="42"/>
      <c r="J99" s="43"/>
    </row>
    <row r="100" spans="1:10" ht="12" customHeight="1">
      <c r="A100" s="6"/>
      <c r="B100" s="56" t="s">
        <v>91</v>
      </c>
      <c r="C100" s="57">
        <v>42766</v>
      </c>
      <c r="D100" s="58"/>
      <c r="E100" s="58">
        <v>470000</v>
      </c>
      <c r="F100" s="57">
        <v>42766</v>
      </c>
      <c r="G100" s="40">
        <f t="shared" si="3"/>
        <v>0</v>
      </c>
      <c r="H100" s="41" t="str">
        <f>"odsetki do 2017-01-31"</f>
        <v>odsetki do 2017-01-31</v>
      </c>
      <c r="I100" s="42">
        <f>SUM(G97:G99)</f>
        <v>0</v>
      </c>
      <c r="J100" s="43">
        <v>42745</v>
      </c>
    </row>
    <row r="101" spans="1:10" ht="12" customHeight="1">
      <c r="A101" s="6"/>
      <c r="B101" s="56" t="s">
        <v>92</v>
      </c>
      <c r="C101" s="57">
        <v>42794</v>
      </c>
      <c r="D101" s="58"/>
      <c r="E101" s="58">
        <v>470000</v>
      </c>
      <c r="F101" s="57">
        <v>42794</v>
      </c>
      <c r="G101" s="40">
        <f t="shared" si="3"/>
        <v>0</v>
      </c>
      <c r="H101" s="41" t="str">
        <f>"odsetki do 2017-02-28"</f>
        <v>odsetki do 2017-02-28</v>
      </c>
      <c r="I101" s="42"/>
      <c r="J101" s="43"/>
    </row>
    <row r="102" spans="1:10" ht="12" customHeight="1">
      <c r="A102" s="6"/>
      <c r="B102" s="56" t="s">
        <v>93</v>
      </c>
      <c r="C102" s="57">
        <v>42814</v>
      </c>
      <c r="D102" s="58"/>
      <c r="E102" s="58">
        <v>470000</v>
      </c>
      <c r="F102" s="57">
        <v>42825</v>
      </c>
      <c r="G102" s="40">
        <f t="shared" si="3"/>
        <v>0</v>
      </c>
      <c r="H102" s="41" t="str">
        <f>"odsetki do 2017-03-31"</f>
        <v>odsetki do 2017-03-31</v>
      </c>
      <c r="I102" s="42"/>
      <c r="J102" s="43"/>
    </row>
    <row r="103" spans="1:10" ht="12" customHeight="1">
      <c r="A103" s="6"/>
      <c r="B103" s="56" t="s">
        <v>94</v>
      </c>
      <c r="C103" s="57">
        <v>42855</v>
      </c>
      <c r="D103" s="58"/>
      <c r="E103" s="58">
        <v>470000</v>
      </c>
      <c r="F103" s="57">
        <v>42855</v>
      </c>
      <c r="G103" s="40">
        <f t="shared" si="3"/>
        <v>0</v>
      </c>
      <c r="H103" s="41" t="str">
        <f>"odsetki do 2017-04-30"</f>
        <v>odsetki do 2017-04-30</v>
      </c>
      <c r="I103" s="42">
        <f>SUM(G100:G102)</f>
        <v>0</v>
      </c>
      <c r="J103" s="43">
        <v>42835</v>
      </c>
    </row>
    <row r="104" spans="1:10" ht="12" customHeight="1">
      <c r="A104" s="6"/>
      <c r="B104" s="56" t="s">
        <v>95</v>
      </c>
      <c r="C104" s="57">
        <v>42886</v>
      </c>
      <c r="D104" s="58"/>
      <c r="E104" s="58">
        <v>470000</v>
      </c>
      <c r="F104" s="57">
        <v>42886</v>
      </c>
      <c r="G104" s="40">
        <f t="shared" si="3"/>
        <v>0</v>
      </c>
      <c r="H104" s="41" t="str">
        <f>"odsetki do 2017-05-31"</f>
        <v>odsetki do 2017-05-31</v>
      </c>
      <c r="I104" s="42"/>
      <c r="J104" s="43"/>
    </row>
    <row r="105" spans="1:10" ht="12" customHeight="1">
      <c r="A105" s="6"/>
      <c r="B105" s="56" t="s">
        <v>96</v>
      </c>
      <c r="C105" s="57">
        <v>42916</v>
      </c>
      <c r="D105" s="58"/>
      <c r="E105" s="58">
        <v>470000</v>
      </c>
      <c r="F105" s="57">
        <v>42916</v>
      </c>
      <c r="G105" s="40">
        <f t="shared" si="3"/>
        <v>0</v>
      </c>
      <c r="H105" s="41" t="str">
        <f>"odsetki do 2017-06-30"</f>
        <v>odsetki do 2017-06-30</v>
      </c>
      <c r="I105" s="42"/>
      <c r="J105" s="43"/>
    </row>
    <row r="106" spans="1:10" ht="12" customHeight="1">
      <c r="A106" s="6"/>
      <c r="B106" s="56" t="s">
        <v>97</v>
      </c>
      <c r="C106" s="57">
        <v>42947</v>
      </c>
      <c r="D106" s="58"/>
      <c r="E106" s="58">
        <v>470000</v>
      </c>
      <c r="F106" s="57">
        <v>42947</v>
      </c>
      <c r="G106" s="40">
        <f t="shared" si="3"/>
        <v>0</v>
      </c>
      <c r="H106" s="41" t="str">
        <f>"odsetki do 2017-07-31"</f>
        <v>odsetki do 2017-07-31</v>
      </c>
      <c r="I106" s="42">
        <f>SUM(G103:G105)</f>
        <v>0</v>
      </c>
      <c r="J106" s="43">
        <v>42926</v>
      </c>
    </row>
    <row r="107" spans="1:10" ht="12" customHeight="1">
      <c r="A107" s="6"/>
      <c r="B107" s="56" t="s">
        <v>98</v>
      </c>
      <c r="C107" s="57">
        <v>42978</v>
      </c>
      <c r="D107" s="58"/>
      <c r="E107" s="58">
        <v>470000</v>
      </c>
      <c r="F107" s="57">
        <v>42978</v>
      </c>
      <c r="G107" s="40">
        <f t="shared" si="3"/>
        <v>0</v>
      </c>
      <c r="H107" s="41" t="str">
        <f>"odsetki do 2017-08-31"</f>
        <v>odsetki do 2017-08-31</v>
      </c>
      <c r="I107" s="42"/>
      <c r="J107" s="43"/>
    </row>
    <row r="108" spans="1:10" ht="12" customHeight="1">
      <c r="A108" s="6"/>
      <c r="B108" s="56" t="s">
        <v>99</v>
      </c>
      <c r="C108" s="57">
        <v>42998</v>
      </c>
      <c r="D108" s="58"/>
      <c r="E108" s="58">
        <v>470000</v>
      </c>
      <c r="F108" s="57">
        <v>43008</v>
      </c>
      <c r="G108" s="40">
        <f t="shared" si="3"/>
        <v>0</v>
      </c>
      <c r="H108" s="41" t="str">
        <f>"odsetki do 2017-09-30"</f>
        <v>odsetki do 2017-09-30</v>
      </c>
      <c r="I108" s="42"/>
      <c r="J108" s="43"/>
    </row>
    <row r="109" spans="1:10" ht="12" customHeight="1">
      <c r="A109" s="6"/>
      <c r="B109" s="56" t="s">
        <v>100</v>
      </c>
      <c r="C109" s="57">
        <v>43039</v>
      </c>
      <c r="D109" s="58"/>
      <c r="E109" s="58">
        <v>470000</v>
      </c>
      <c r="F109" s="57">
        <v>43039</v>
      </c>
      <c r="G109" s="40">
        <f t="shared" si="3"/>
        <v>0</v>
      </c>
      <c r="H109" s="41" t="str">
        <f>"odsetki do 2017-10-31"</f>
        <v>odsetki do 2017-10-31</v>
      </c>
      <c r="I109" s="42">
        <f>SUM(G106:G108)</f>
        <v>0</v>
      </c>
      <c r="J109" s="43">
        <v>43018</v>
      </c>
    </row>
    <row r="110" spans="1:10" ht="12" customHeight="1">
      <c r="A110" s="6"/>
      <c r="B110" s="56" t="s">
        <v>101</v>
      </c>
      <c r="C110" s="57">
        <v>43069</v>
      </c>
      <c r="D110" s="58">
        <v>130000</v>
      </c>
      <c r="E110" s="58">
        <v>340000</v>
      </c>
      <c r="F110" s="57">
        <v>43069</v>
      </c>
      <c r="G110" s="40">
        <f t="shared" si="3"/>
        <v>0</v>
      </c>
      <c r="H110" s="41" t="str">
        <f>"odsetki do 2017-11-30"</f>
        <v>odsetki do 2017-11-30</v>
      </c>
      <c r="I110" s="42"/>
      <c r="J110" s="43"/>
    </row>
    <row r="111" spans="1:10" ht="12" customHeight="1">
      <c r="A111" s="6"/>
      <c r="B111" s="56" t="s">
        <v>102</v>
      </c>
      <c r="C111" s="57">
        <v>43100</v>
      </c>
      <c r="D111" s="58"/>
      <c r="E111" s="58">
        <v>340000</v>
      </c>
      <c r="F111" s="57">
        <v>43100</v>
      </c>
      <c r="G111" s="40">
        <f t="shared" si="3"/>
        <v>0</v>
      </c>
      <c r="H111" s="41" t="str">
        <f>"odsetki do 2017-12-31"</f>
        <v>odsetki do 2017-12-31</v>
      </c>
      <c r="I111" s="42"/>
      <c r="J111" s="43"/>
    </row>
    <row r="112" spans="1:10" ht="12" customHeight="1">
      <c r="A112" s="6"/>
      <c r="B112" s="56" t="s">
        <v>103</v>
      </c>
      <c r="C112" s="57">
        <v>43131</v>
      </c>
      <c r="D112" s="58"/>
      <c r="E112" s="58">
        <v>340000</v>
      </c>
      <c r="F112" s="57">
        <v>43131</v>
      </c>
      <c r="G112" s="40">
        <f t="shared" si="3"/>
        <v>0</v>
      </c>
      <c r="H112" s="41" t="str">
        <f>"odsetki do 2018-01-31"</f>
        <v>odsetki do 2018-01-31</v>
      </c>
      <c r="I112" s="42">
        <f>SUM(G109:G111)</f>
        <v>0</v>
      </c>
      <c r="J112" s="43">
        <v>43110</v>
      </c>
    </row>
    <row r="113" spans="1:10" ht="12" customHeight="1">
      <c r="A113" s="6"/>
      <c r="B113" s="56" t="s">
        <v>104</v>
      </c>
      <c r="C113" s="57">
        <v>43159</v>
      </c>
      <c r="D113" s="58"/>
      <c r="E113" s="58">
        <v>340000</v>
      </c>
      <c r="F113" s="57">
        <v>43159</v>
      </c>
      <c r="G113" s="40">
        <f t="shared" si="3"/>
        <v>0</v>
      </c>
      <c r="H113" s="41" t="str">
        <f>"odsetki do 2018-02-28"</f>
        <v>odsetki do 2018-02-28</v>
      </c>
      <c r="I113" s="42"/>
      <c r="J113" s="43"/>
    </row>
    <row r="114" spans="1:10" ht="12" customHeight="1">
      <c r="A114" s="6"/>
      <c r="B114" s="56" t="s">
        <v>105</v>
      </c>
      <c r="C114" s="57">
        <v>43179</v>
      </c>
      <c r="D114" s="58"/>
      <c r="E114" s="58">
        <v>340000</v>
      </c>
      <c r="F114" s="57">
        <v>43190</v>
      </c>
      <c r="G114" s="40">
        <f t="shared" si="3"/>
        <v>0</v>
      </c>
      <c r="H114" s="41" t="str">
        <f>"odsetki do 2018-03-31"</f>
        <v>odsetki do 2018-03-31</v>
      </c>
      <c r="I114" s="42"/>
      <c r="J114" s="43"/>
    </row>
    <row r="115" spans="1:10" ht="12" customHeight="1">
      <c r="A115" s="6"/>
      <c r="B115" s="56" t="s">
        <v>106</v>
      </c>
      <c r="C115" s="57">
        <v>43220</v>
      </c>
      <c r="D115" s="58"/>
      <c r="E115" s="58">
        <v>340000</v>
      </c>
      <c r="F115" s="57">
        <v>43220</v>
      </c>
      <c r="G115" s="40">
        <f t="shared" si="3"/>
        <v>0</v>
      </c>
      <c r="H115" s="41" t="str">
        <f>"odsetki do 2018-04-30"</f>
        <v>odsetki do 2018-04-30</v>
      </c>
      <c r="I115" s="42">
        <f>SUM(G112:G114)</f>
        <v>0</v>
      </c>
      <c r="J115" s="43">
        <v>43200</v>
      </c>
    </row>
    <row r="116" spans="1:10" ht="12" customHeight="1">
      <c r="A116" s="6"/>
      <c r="B116" s="56" t="s">
        <v>107</v>
      </c>
      <c r="C116" s="57">
        <v>43251</v>
      </c>
      <c r="D116" s="58"/>
      <c r="E116" s="58">
        <v>340000</v>
      </c>
      <c r="F116" s="57">
        <v>43251</v>
      </c>
      <c r="G116" s="40">
        <f t="shared" si="3"/>
        <v>0</v>
      </c>
      <c r="H116" s="41" t="str">
        <f>"odsetki do 2018-05-31"</f>
        <v>odsetki do 2018-05-31</v>
      </c>
      <c r="I116" s="42"/>
      <c r="J116" s="43"/>
    </row>
    <row r="117" spans="1:10" ht="12" customHeight="1">
      <c r="A117" s="6"/>
      <c r="B117" s="56" t="s">
        <v>108</v>
      </c>
      <c r="C117" s="57">
        <v>43281</v>
      </c>
      <c r="D117" s="58"/>
      <c r="E117" s="58">
        <v>340000</v>
      </c>
      <c r="F117" s="57">
        <v>43281</v>
      </c>
      <c r="G117" s="40">
        <f t="shared" si="3"/>
        <v>0</v>
      </c>
      <c r="H117" s="41" t="str">
        <f>"odsetki do 2018-06-30"</f>
        <v>odsetki do 2018-06-30</v>
      </c>
      <c r="I117" s="42"/>
      <c r="J117" s="43"/>
    </row>
    <row r="118" spans="1:10" ht="12" customHeight="1">
      <c r="A118" s="6"/>
      <c r="B118" s="56" t="s">
        <v>109</v>
      </c>
      <c r="C118" s="57">
        <v>43312</v>
      </c>
      <c r="D118" s="58"/>
      <c r="E118" s="58">
        <v>340000</v>
      </c>
      <c r="F118" s="57">
        <v>43312</v>
      </c>
      <c r="G118" s="40">
        <f t="shared" si="3"/>
        <v>0</v>
      </c>
      <c r="H118" s="41" t="str">
        <f>"odsetki do 2018-07-31"</f>
        <v>odsetki do 2018-07-31</v>
      </c>
      <c r="I118" s="42">
        <f>SUM(G115:G117)</f>
        <v>0</v>
      </c>
      <c r="J118" s="43">
        <v>43291</v>
      </c>
    </row>
    <row r="119" spans="1:10" ht="12" customHeight="1">
      <c r="A119" s="6"/>
      <c r="B119" s="56" t="s">
        <v>110</v>
      </c>
      <c r="C119" s="57">
        <v>43343</v>
      </c>
      <c r="D119" s="58"/>
      <c r="E119" s="58">
        <v>340000</v>
      </c>
      <c r="F119" s="57">
        <v>43343</v>
      </c>
      <c r="G119" s="40">
        <f t="shared" si="3"/>
        <v>0</v>
      </c>
      <c r="H119" s="41" t="str">
        <f>"odsetki do 2018-08-31"</f>
        <v>odsetki do 2018-08-31</v>
      </c>
      <c r="I119" s="42"/>
      <c r="J119" s="43"/>
    </row>
    <row r="120" spans="1:10" ht="12" customHeight="1">
      <c r="A120" s="6"/>
      <c r="B120" s="56" t="s">
        <v>111</v>
      </c>
      <c r="C120" s="57">
        <v>43363</v>
      </c>
      <c r="D120" s="58"/>
      <c r="E120" s="58">
        <v>340000</v>
      </c>
      <c r="F120" s="57">
        <v>43373</v>
      </c>
      <c r="G120" s="40">
        <f t="shared" si="3"/>
        <v>0</v>
      </c>
      <c r="H120" s="41" t="str">
        <f>"odsetki do 2018-09-30"</f>
        <v>odsetki do 2018-09-30</v>
      </c>
      <c r="I120" s="42"/>
      <c r="J120" s="43"/>
    </row>
    <row r="121" spans="1:10" ht="12" customHeight="1">
      <c r="A121" s="6"/>
      <c r="B121" s="56" t="s">
        <v>112</v>
      </c>
      <c r="C121" s="57">
        <v>43404</v>
      </c>
      <c r="D121" s="58"/>
      <c r="E121" s="58">
        <v>340000</v>
      </c>
      <c r="F121" s="57">
        <v>43404</v>
      </c>
      <c r="G121" s="40">
        <f t="shared" si="3"/>
        <v>0</v>
      </c>
      <c r="H121" s="41" t="str">
        <f>"odsetki do 2018-10-31"</f>
        <v>odsetki do 2018-10-31</v>
      </c>
      <c r="I121" s="42">
        <f>SUM(G118:G120)</f>
        <v>0</v>
      </c>
      <c r="J121" s="43">
        <v>43383</v>
      </c>
    </row>
    <row r="122" spans="1:10" ht="12" customHeight="1">
      <c r="A122" s="6"/>
      <c r="B122" s="56" t="s">
        <v>113</v>
      </c>
      <c r="C122" s="57">
        <v>43434</v>
      </c>
      <c r="D122" s="58">
        <v>130000</v>
      </c>
      <c r="E122" s="58">
        <v>210000</v>
      </c>
      <c r="F122" s="57">
        <v>43434</v>
      </c>
      <c r="G122" s="40">
        <f t="shared" si="3"/>
        <v>0</v>
      </c>
      <c r="H122" s="41" t="str">
        <f>"odsetki do 2018-11-30"</f>
        <v>odsetki do 2018-11-30</v>
      </c>
      <c r="I122" s="42"/>
      <c r="J122" s="43"/>
    </row>
    <row r="123" spans="1:10" ht="12" customHeight="1">
      <c r="A123" s="6"/>
      <c r="B123" s="56" t="s">
        <v>114</v>
      </c>
      <c r="C123" s="57">
        <v>43465</v>
      </c>
      <c r="D123" s="58"/>
      <c r="E123" s="58">
        <v>210000</v>
      </c>
      <c r="F123" s="57">
        <v>43465</v>
      </c>
      <c r="G123" s="40">
        <f t="shared" si="3"/>
        <v>0</v>
      </c>
      <c r="H123" s="41" t="str">
        <f>"odsetki do 2018-12-31"</f>
        <v>odsetki do 2018-12-31</v>
      </c>
      <c r="I123" s="42"/>
      <c r="J123" s="43"/>
    </row>
    <row r="124" spans="1:10" ht="12" customHeight="1">
      <c r="A124" s="6"/>
      <c r="B124" s="56" t="s">
        <v>115</v>
      </c>
      <c r="C124" s="57">
        <v>43496</v>
      </c>
      <c r="D124" s="58"/>
      <c r="E124" s="58">
        <v>210000</v>
      </c>
      <c r="F124" s="57">
        <v>43496</v>
      </c>
      <c r="G124" s="40">
        <f t="shared" si="3"/>
        <v>0</v>
      </c>
      <c r="H124" s="41" t="str">
        <f>"odsetki do 2019-01-31"</f>
        <v>odsetki do 2019-01-31</v>
      </c>
      <c r="I124" s="42">
        <f>SUM(G121:G123)</f>
        <v>0</v>
      </c>
      <c r="J124" s="43">
        <v>43475</v>
      </c>
    </row>
    <row r="125" spans="1:10" ht="12" customHeight="1">
      <c r="A125" s="6"/>
      <c r="B125" s="56" t="s">
        <v>116</v>
      </c>
      <c r="C125" s="57">
        <v>43524</v>
      </c>
      <c r="D125" s="58"/>
      <c r="E125" s="58">
        <v>210000</v>
      </c>
      <c r="F125" s="57">
        <v>43524</v>
      </c>
      <c r="G125" s="40">
        <f aca="true" t="shared" si="4" ref="G125:G145">E124*I$15*(F125-F124)/365</f>
        <v>0</v>
      </c>
      <c r="H125" s="41" t="str">
        <f>"odsetki do 2019-02-28"</f>
        <v>odsetki do 2019-02-28</v>
      </c>
      <c r="I125" s="42"/>
      <c r="J125" s="43"/>
    </row>
    <row r="126" spans="1:10" ht="12" customHeight="1">
      <c r="A126" s="6"/>
      <c r="B126" s="56" t="s">
        <v>117</v>
      </c>
      <c r="C126" s="57">
        <v>43544</v>
      </c>
      <c r="D126" s="58"/>
      <c r="E126" s="58">
        <v>210000</v>
      </c>
      <c r="F126" s="57">
        <v>43555</v>
      </c>
      <c r="G126" s="40">
        <f t="shared" si="4"/>
        <v>0</v>
      </c>
      <c r="H126" s="41" t="str">
        <f>"odsetki do 2019-03-31"</f>
        <v>odsetki do 2019-03-31</v>
      </c>
      <c r="I126" s="42"/>
      <c r="J126" s="43"/>
    </row>
    <row r="127" spans="1:10" ht="12" customHeight="1">
      <c r="A127" s="6"/>
      <c r="B127" s="56" t="s">
        <v>118</v>
      </c>
      <c r="C127" s="57">
        <v>43585</v>
      </c>
      <c r="D127" s="58"/>
      <c r="E127" s="58">
        <v>210000</v>
      </c>
      <c r="F127" s="57">
        <v>43585</v>
      </c>
      <c r="G127" s="40">
        <f t="shared" si="4"/>
        <v>0</v>
      </c>
      <c r="H127" s="41" t="str">
        <f>"odsetki do 2019-04-30"</f>
        <v>odsetki do 2019-04-30</v>
      </c>
      <c r="I127" s="42">
        <f>SUM(G124:G126)</f>
        <v>0</v>
      </c>
      <c r="J127" s="43">
        <v>43565</v>
      </c>
    </row>
    <row r="128" spans="1:10" ht="12" customHeight="1">
      <c r="A128" s="6"/>
      <c r="B128" s="56" t="s">
        <v>119</v>
      </c>
      <c r="C128" s="57">
        <v>43616</v>
      </c>
      <c r="D128" s="58"/>
      <c r="E128" s="58">
        <v>210000</v>
      </c>
      <c r="F128" s="57">
        <v>43616</v>
      </c>
      <c r="G128" s="40">
        <f t="shared" si="4"/>
        <v>0</v>
      </c>
      <c r="H128" s="41" t="str">
        <f>"odsetki do 2019-05-31"</f>
        <v>odsetki do 2019-05-31</v>
      </c>
      <c r="I128" s="42"/>
      <c r="J128" s="44"/>
    </row>
    <row r="129" spans="1:10" ht="12" customHeight="1">
      <c r="A129" s="6"/>
      <c r="B129" s="56" t="s">
        <v>120</v>
      </c>
      <c r="C129" s="57">
        <v>43646</v>
      </c>
      <c r="D129" s="58"/>
      <c r="E129" s="58">
        <v>210000</v>
      </c>
      <c r="F129" s="57">
        <v>43646</v>
      </c>
      <c r="G129" s="40">
        <f t="shared" si="4"/>
        <v>0</v>
      </c>
      <c r="H129" s="41" t="str">
        <f>"odsetki do 2019-06-30"</f>
        <v>odsetki do 2019-06-30</v>
      </c>
      <c r="I129" s="42"/>
      <c r="J129" s="44"/>
    </row>
    <row r="130" spans="1:10" ht="12" customHeight="1">
      <c r="A130" s="6"/>
      <c r="B130" s="56" t="s">
        <v>121</v>
      </c>
      <c r="C130" s="57">
        <v>43677</v>
      </c>
      <c r="D130" s="58"/>
      <c r="E130" s="58">
        <v>210000</v>
      </c>
      <c r="F130" s="57">
        <v>43677</v>
      </c>
      <c r="G130" s="40">
        <f>E129*I$15*(F130-F129)/365</f>
        <v>0</v>
      </c>
      <c r="H130" s="41" t="str">
        <f>"odsetki do 2019-07-31"</f>
        <v>odsetki do 2019-07-31</v>
      </c>
      <c r="I130" s="42">
        <f>SUM(G127:G129)</f>
        <v>0</v>
      </c>
      <c r="J130" s="43">
        <v>43656</v>
      </c>
    </row>
    <row r="131" spans="1:10" ht="12" customHeight="1">
      <c r="A131" s="6"/>
      <c r="B131" s="56" t="s">
        <v>122</v>
      </c>
      <c r="C131" s="57">
        <v>43708</v>
      </c>
      <c r="D131" s="58"/>
      <c r="E131" s="58">
        <v>210000</v>
      </c>
      <c r="F131" s="57">
        <v>43708</v>
      </c>
      <c r="G131" s="40">
        <f t="shared" si="4"/>
        <v>0</v>
      </c>
      <c r="H131" s="41" t="str">
        <f>"odsetki do 2019-08-31"</f>
        <v>odsetki do 2019-08-31</v>
      </c>
      <c r="I131" s="42"/>
      <c r="J131" s="44"/>
    </row>
    <row r="132" spans="1:10" ht="12" customHeight="1">
      <c r="A132" s="6"/>
      <c r="B132" s="56" t="s">
        <v>123</v>
      </c>
      <c r="C132" s="57">
        <v>43728</v>
      </c>
      <c r="D132" s="58"/>
      <c r="E132" s="58">
        <v>210000</v>
      </c>
      <c r="F132" s="57">
        <v>43738</v>
      </c>
      <c r="G132" s="40">
        <f t="shared" si="4"/>
        <v>0</v>
      </c>
      <c r="H132" s="41" t="str">
        <f>"odsetki do 2019-09-30"</f>
        <v>odsetki do 2019-09-30</v>
      </c>
      <c r="I132" s="42"/>
      <c r="J132" s="44"/>
    </row>
    <row r="133" spans="1:10" ht="12" customHeight="1">
      <c r="A133" s="6"/>
      <c r="B133" s="56" t="s">
        <v>124</v>
      </c>
      <c r="C133" s="57">
        <v>43769</v>
      </c>
      <c r="D133" s="58"/>
      <c r="E133" s="58">
        <v>210000</v>
      </c>
      <c r="F133" s="57">
        <v>43769</v>
      </c>
      <c r="G133" s="40">
        <f t="shared" si="4"/>
        <v>0</v>
      </c>
      <c r="H133" s="41" t="str">
        <f>"odsetki do 2019-10-31"</f>
        <v>odsetki do 2019-10-31</v>
      </c>
      <c r="I133" s="42">
        <f>SUM(G130:G132)</f>
        <v>0</v>
      </c>
      <c r="J133" s="43">
        <v>43748</v>
      </c>
    </row>
    <row r="134" spans="1:10" ht="12" customHeight="1">
      <c r="A134" s="6"/>
      <c r="B134" s="56" t="s">
        <v>125</v>
      </c>
      <c r="C134" s="57">
        <v>43799</v>
      </c>
      <c r="D134" s="58">
        <v>181153</v>
      </c>
      <c r="E134" s="58">
        <v>28847</v>
      </c>
      <c r="F134" s="57">
        <v>43799</v>
      </c>
      <c r="G134" s="40">
        <f t="shared" si="4"/>
        <v>0</v>
      </c>
      <c r="H134" s="41" t="str">
        <f>"odsetki do 2019-11-30"</f>
        <v>odsetki do 2019-11-30</v>
      </c>
      <c r="I134" s="42"/>
      <c r="J134" s="44"/>
    </row>
    <row r="135" spans="1:10" ht="12" customHeight="1">
      <c r="A135" s="6"/>
      <c r="B135" s="56" t="s">
        <v>126</v>
      </c>
      <c r="C135" s="57">
        <v>43830</v>
      </c>
      <c r="D135" s="58"/>
      <c r="E135" s="58">
        <v>28847</v>
      </c>
      <c r="F135" s="57">
        <v>43830</v>
      </c>
      <c r="G135" s="40">
        <f t="shared" si="4"/>
        <v>0</v>
      </c>
      <c r="H135" s="41" t="str">
        <f>"odsetki do 2019-12-31"</f>
        <v>odsetki do 2019-12-31</v>
      </c>
      <c r="I135" s="42"/>
      <c r="J135" s="44"/>
    </row>
    <row r="136" spans="1:10" ht="12" customHeight="1">
      <c r="A136" s="6"/>
      <c r="B136" s="56" t="s">
        <v>127</v>
      </c>
      <c r="C136" s="57">
        <v>43861</v>
      </c>
      <c r="D136" s="58"/>
      <c r="E136" s="58">
        <v>28847</v>
      </c>
      <c r="F136" s="57">
        <v>43861</v>
      </c>
      <c r="G136" s="40">
        <f t="shared" si="4"/>
        <v>0</v>
      </c>
      <c r="H136" s="41" t="str">
        <f>"odsetki do 2020-01-31"</f>
        <v>odsetki do 2020-01-31</v>
      </c>
      <c r="I136" s="42">
        <f>SUM(G133:G135)</f>
        <v>0</v>
      </c>
      <c r="J136" s="43">
        <v>43840</v>
      </c>
    </row>
    <row r="137" spans="1:10" ht="12" customHeight="1">
      <c r="A137" s="6"/>
      <c r="B137" s="56" t="s">
        <v>128</v>
      </c>
      <c r="C137" s="57">
        <v>43890</v>
      </c>
      <c r="D137" s="58"/>
      <c r="E137" s="58">
        <v>28847</v>
      </c>
      <c r="F137" s="57">
        <v>43890</v>
      </c>
      <c r="G137" s="40">
        <f t="shared" si="4"/>
        <v>0</v>
      </c>
      <c r="H137" s="41" t="str">
        <f>"odsetki do 2020-02-29"</f>
        <v>odsetki do 2020-02-29</v>
      </c>
      <c r="I137" s="42"/>
      <c r="J137" s="44"/>
    </row>
    <row r="138" spans="1:10" ht="12" customHeight="1">
      <c r="A138" s="6"/>
      <c r="B138" s="56" t="s">
        <v>129</v>
      </c>
      <c r="C138" s="57">
        <v>43910</v>
      </c>
      <c r="D138" s="58"/>
      <c r="E138" s="58">
        <v>28847</v>
      </c>
      <c r="F138" s="57">
        <v>43921</v>
      </c>
      <c r="G138" s="40">
        <f t="shared" si="4"/>
        <v>0</v>
      </c>
      <c r="H138" s="41" t="str">
        <f>"odsetki do 2020-03-31"</f>
        <v>odsetki do 2020-03-31</v>
      </c>
      <c r="I138" s="42"/>
      <c r="J138" s="44"/>
    </row>
    <row r="139" spans="1:10" ht="12" customHeight="1">
      <c r="A139" s="6"/>
      <c r="B139" s="56" t="s">
        <v>130</v>
      </c>
      <c r="C139" s="57">
        <v>43951</v>
      </c>
      <c r="D139" s="58"/>
      <c r="E139" s="58">
        <v>28847</v>
      </c>
      <c r="F139" s="57">
        <v>43951</v>
      </c>
      <c r="G139" s="40">
        <f t="shared" si="4"/>
        <v>0</v>
      </c>
      <c r="H139" s="41" t="str">
        <f>"odsetki do 2020-04-30"</f>
        <v>odsetki do 2020-04-30</v>
      </c>
      <c r="I139" s="42">
        <f>SUM(G136:G138)</f>
        <v>0</v>
      </c>
      <c r="J139" s="43">
        <v>43931</v>
      </c>
    </row>
    <row r="140" spans="1:10" ht="12" customHeight="1">
      <c r="A140" s="6"/>
      <c r="B140" s="56" t="s">
        <v>131</v>
      </c>
      <c r="C140" s="57">
        <v>43982</v>
      </c>
      <c r="D140" s="58"/>
      <c r="E140" s="58">
        <v>28847</v>
      </c>
      <c r="F140" s="57">
        <v>43982</v>
      </c>
      <c r="G140" s="40">
        <f t="shared" si="4"/>
        <v>0</v>
      </c>
      <c r="H140" s="41" t="str">
        <f>"odsetki do 2020-05-31"</f>
        <v>odsetki do 2020-05-31</v>
      </c>
      <c r="I140" s="42"/>
      <c r="J140" s="43"/>
    </row>
    <row r="141" spans="1:10" ht="12" customHeight="1">
      <c r="A141" s="6"/>
      <c r="B141" s="56" t="s">
        <v>132</v>
      </c>
      <c r="C141" s="57">
        <v>44012</v>
      </c>
      <c r="D141" s="58"/>
      <c r="E141" s="58">
        <v>28847</v>
      </c>
      <c r="F141" s="57">
        <v>44012</v>
      </c>
      <c r="G141" s="40">
        <f t="shared" si="4"/>
        <v>0</v>
      </c>
      <c r="H141" s="41" t="str">
        <f>"odsetki do 2020-06-30"</f>
        <v>odsetki do 2020-06-30</v>
      </c>
      <c r="I141" s="42"/>
      <c r="J141" s="43"/>
    </row>
    <row r="142" spans="1:10" ht="12" customHeight="1">
      <c r="A142" s="6"/>
      <c r="B142" s="56" t="s">
        <v>133</v>
      </c>
      <c r="C142" s="57">
        <v>44043</v>
      </c>
      <c r="D142" s="58"/>
      <c r="E142" s="58">
        <v>28847</v>
      </c>
      <c r="F142" s="57">
        <v>44043</v>
      </c>
      <c r="G142" s="40">
        <f t="shared" si="4"/>
        <v>0</v>
      </c>
      <c r="H142" s="41" t="str">
        <f>"odsetki do 2020-07-31"</f>
        <v>odsetki do 2020-07-31</v>
      </c>
      <c r="I142" s="42">
        <f>SUM(G139:G141)</f>
        <v>0</v>
      </c>
      <c r="J142" s="43">
        <v>44022</v>
      </c>
    </row>
    <row r="143" spans="1:10" ht="12" customHeight="1">
      <c r="A143" s="6"/>
      <c r="B143" s="56" t="s">
        <v>134</v>
      </c>
      <c r="C143" s="57">
        <v>44074</v>
      </c>
      <c r="D143" s="58"/>
      <c r="E143" s="58">
        <v>28847</v>
      </c>
      <c r="F143" s="57">
        <v>44074</v>
      </c>
      <c r="G143" s="40">
        <f t="shared" si="4"/>
        <v>0</v>
      </c>
      <c r="H143" s="41" t="str">
        <f>"odsetki do 2020-08-31"</f>
        <v>odsetki do 2020-08-31</v>
      </c>
      <c r="I143" s="42"/>
      <c r="J143" s="43"/>
    </row>
    <row r="144" spans="1:10" ht="12" customHeight="1">
      <c r="A144" s="6"/>
      <c r="B144" s="56" t="s">
        <v>135</v>
      </c>
      <c r="C144" s="57">
        <v>44094</v>
      </c>
      <c r="D144" s="58">
        <v>28847</v>
      </c>
      <c r="E144" s="58">
        <v>0</v>
      </c>
      <c r="F144" s="57">
        <v>44104</v>
      </c>
      <c r="G144" s="40">
        <f t="shared" si="4"/>
        <v>0</v>
      </c>
      <c r="H144" s="41" t="str">
        <f>"odsetki do 2020-09-30"</f>
        <v>odsetki do 2020-09-30</v>
      </c>
      <c r="I144" s="42"/>
      <c r="J144" s="43"/>
    </row>
    <row r="145" spans="1:10" ht="12" customHeight="1">
      <c r="A145" s="6"/>
      <c r="B145" s="56" t="s">
        <v>136</v>
      </c>
      <c r="C145" s="57"/>
      <c r="D145" s="58"/>
      <c r="E145" s="58"/>
      <c r="F145" s="57">
        <v>44135</v>
      </c>
      <c r="G145" s="40">
        <f t="shared" si="4"/>
        <v>0</v>
      </c>
      <c r="H145" s="41" t="str">
        <f>"odsetki do 2020-10-31"</f>
        <v>odsetki do 2020-10-31</v>
      </c>
      <c r="I145" s="42">
        <f>SUM(G142:G144)</f>
        <v>0</v>
      </c>
      <c r="J145" s="43">
        <v>44114</v>
      </c>
    </row>
    <row r="146" spans="1:10" ht="12.75" customHeight="1">
      <c r="A146" s="6"/>
      <c r="B146" s="60" t="s">
        <v>137</v>
      </c>
      <c r="C146" s="60"/>
      <c r="D146" s="60"/>
      <c r="E146" s="60"/>
      <c r="F146" s="60"/>
      <c r="G146" s="40">
        <f>SUM(G26:G145)</f>
        <v>0</v>
      </c>
      <c r="H146" s="45"/>
      <c r="I146" s="46">
        <f>SUM(I26:I145)</f>
        <v>0</v>
      </c>
      <c r="J146" s="39"/>
    </row>
    <row r="147" spans="1:10" ht="12.75" customHeight="1">
      <c r="A147" s="6"/>
      <c r="B147" s="6"/>
      <c r="C147" s="6"/>
      <c r="D147" s="6"/>
      <c r="E147" s="47"/>
      <c r="F147" s="48"/>
      <c r="G147" s="15"/>
      <c r="H147" s="15"/>
      <c r="I147" s="6"/>
      <c r="J147" s="6"/>
    </row>
    <row r="148" spans="1:10" ht="16.5" customHeight="1">
      <c r="A148" s="6"/>
      <c r="B148" s="6"/>
      <c r="C148" s="6"/>
      <c r="D148" s="49" t="s">
        <v>144</v>
      </c>
      <c r="E148" s="50"/>
      <c r="F148" s="51"/>
      <c r="G148" s="52">
        <f>G146+I19</f>
        <v>0</v>
      </c>
      <c r="H148" s="6"/>
      <c r="I148" s="6"/>
      <c r="J148" s="6"/>
    </row>
    <row r="149" spans="1:10" ht="12.75" customHeight="1">
      <c r="A149" s="6"/>
      <c r="B149" s="6"/>
      <c r="C149" s="6"/>
      <c r="D149" s="53"/>
      <c r="E149" s="15"/>
      <c r="F149" s="48"/>
      <c r="G149" s="6"/>
      <c r="H149" s="6"/>
      <c r="I149" s="6"/>
      <c r="J149" s="6"/>
    </row>
    <row r="150" spans="1:10" ht="12.75" customHeight="1">
      <c r="A150" s="6"/>
      <c r="B150" s="6"/>
      <c r="C150" s="54" t="s">
        <v>138</v>
      </c>
      <c r="D150" s="6"/>
      <c r="E150" s="6"/>
      <c r="F150" s="14"/>
      <c r="G150" s="15"/>
      <c r="H150" s="15"/>
      <c r="I150" s="6"/>
      <c r="J150" s="6"/>
    </row>
    <row r="151" spans="1:10" ht="12.75" customHeight="1">
      <c r="A151" s="6"/>
      <c r="B151" s="6"/>
      <c r="C151" s="55" t="s">
        <v>139</v>
      </c>
      <c r="D151" s="6"/>
      <c r="E151" s="6"/>
      <c r="F151" s="14"/>
      <c r="G151" s="15"/>
      <c r="H151" s="15"/>
      <c r="I151" s="6"/>
      <c r="J151" s="6"/>
    </row>
    <row r="152" spans="1:10" ht="12.75" customHeight="1">
      <c r="A152" s="6"/>
      <c r="B152" s="6"/>
      <c r="C152" s="55" t="s">
        <v>140</v>
      </c>
      <c r="D152" s="6"/>
      <c r="E152" s="6"/>
      <c r="F152" s="14"/>
      <c r="G152" s="15"/>
      <c r="H152" s="15"/>
      <c r="I152" s="6"/>
      <c r="J152" s="6"/>
    </row>
    <row r="153" spans="1:10" ht="12.75" customHeight="1">
      <c r="A153" s="6"/>
      <c r="B153" s="6"/>
      <c r="C153" s="6"/>
      <c r="D153" s="6"/>
      <c r="E153" s="15"/>
      <c r="F153" s="48"/>
      <c r="G153" s="6"/>
      <c r="H153" s="6"/>
      <c r="I153" s="6"/>
      <c r="J153" s="6"/>
    </row>
    <row r="154" spans="1:10" ht="12.75" customHeight="1">
      <c r="A154" s="6"/>
      <c r="B154" s="6"/>
      <c r="C154" s="13"/>
      <c r="D154" s="6"/>
      <c r="E154" s="6"/>
      <c r="F154" s="20"/>
      <c r="G154" s="15"/>
      <c r="H154" s="15"/>
      <c r="I154" s="6"/>
      <c r="J154" s="6"/>
    </row>
    <row r="155" spans="1:10" ht="24" customHeight="1">
      <c r="A155" s="6"/>
      <c r="B155" s="6"/>
      <c r="C155" s="13"/>
      <c r="D155" s="6"/>
      <c r="E155" s="6"/>
      <c r="F155" s="20"/>
      <c r="G155" s="15"/>
      <c r="H155" s="15">
        <f>G146-I146</f>
        <v>0</v>
      </c>
      <c r="I155" s="6"/>
      <c r="J155" s="6"/>
    </row>
    <row r="156" spans="1:10" ht="12.75" customHeight="1">
      <c r="A156" s="6"/>
      <c r="B156" s="6"/>
      <c r="C156" s="13"/>
      <c r="D156" s="6"/>
      <c r="E156" s="6"/>
      <c r="F156" s="20"/>
      <c r="G156" s="15"/>
      <c r="H156" s="15"/>
      <c r="I156" s="6"/>
      <c r="J156" s="6"/>
    </row>
    <row r="157" spans="1:10" ht="24" customHeight="1">
      <c r="A157" s="6"/>
      <c r="B157" s="6"/>
      <c r="C157" s="13"/>
      <c r="D157" s="6"/>
      <c r="E157" s="6"/>
      <c r="F157" s="20"/>
      <c r="G157" s="15"/>
      <c r="H157" s="15"/>
      <c r="I157" s="6"/>
      <c r="J157" s="6"/>
    </row>
    <row r="158" ht="12.75" customHeight="1">
      <c r="F158" s="5"/>
    </row>
    <row r="159" ht="32.25" customHeight="1">
      <c r="F159" s="5"/>
    </row>
    <row r="160" ht="12.75" customHeight="1">
      <c r="F160" s="5"/>
    </row>
    <row r="161" ht="12.75" customHeight="1">
      <c r="F161" s="5"/>
    </row>
    <row r="162" ht="12.75" customHeight="1">
      <c r="F162" s="5"/>
    </row>
    <row r="163" ht="12.75" customHeight="1">
      <c r="F163" s="5"/>
    </row>
    <row r="164" ht="12.75" customHeight="1">
      <c r="F164" s="5"/>
    </row>
    <row r="165" ht="12.75" customHeight="1">
      <c r="F165" s="5"/>
    </row>
    <row r="166" ht="12.75" customHeight="1">
      <c r="F166" s="5"/>
    </row>
    <row r="167" ht="12.75" customHeight="1">
      <c r="F167" s="5"/>
    </row>
    <row r="168" ht="12.75" customHeight="1">
      <c r="F168" s="5"/>
    </row>
    <row r="169" ht="12.75" customHeight="1">
      <c r="F169" s="5"/>
    </row>
    <row r="170" ht="12.75" customHeight="1">
      <c r="F170" s="5"/>
    </row>
    <row r="171" ht="12.75" customHeight="1">
      <c r="F171" s="5"/>
    </row>
    <row r="172" ht="12.75" customHeight="1">
      <c r="F172" s="5"/>
    </row>
    <row r="173" ht="12.75" customHeight="1">
      <c r="F173" s="5"/>
    </row>
    <row r="174" ht="12.75" customHeight="1">
      <c r="F174" s="5"/>
    </row>
    <row r="175" ht="12.75" customHeight="1">
      <c r="F175" s="5"/>
    </row>
    <row r="176" ht="12.75" customHeight="1">
      <c r="F176" s="5"/>
    </row>
    <row r="177" ht="12.75" customHeight="1">
      <c r="F177" s="5"/>
    </row>
    <row r="178" ht="12.75" customHeight="1">
      <c r="F178" s="5"/>
    </row>
    <row r="179" ht="12.75" customHeight="1">
      <c r="F179" s="5"/>
    </row>
    <row r="180" ht="12.75" customHeight="1">
      <c r="F180" s="5"/>
    </row>
    <row r="181" ht="12.75" customHeight="1">
      <c r="F181" s="5"/>
    </row>
  </sheetData>
  <sheetProtection password="C686" sheet="1" objects="1" scenarios="1"/>
  <mergeCells count="10">
    <mergeCell ref="C5:H8"/>
    <mergeCell ref="B146:F146"/>
    <mergeCell ref="C3:I3"/>
    <mergeCell ref="B11:H11"/>
    <mergeCell ref="B23:B24"/>
    <mergeCell ref="C23:C24"/>
    <mergeCell ref="D23:D24"/>
    <mergeCell ref="E23:E24"/>
    <mergeCell ref="F23:F24"/>
    <mergeCell ref="G23:H23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65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U.G. Godziesze</cp:lastModifiedBy>
  <cp:lastPrinted>2011-11-10T09:54:11Z</cp:lastPrinted>
  <dcterms:created xsi:type="dcterms:W3CDTF">2010-11-02T07:56:20Z</dcterms:created>
  <dcterms:modified xsi:type="dcterms:W3CDTF">2011-11-22T11:11:19Z</dcterms:modified>
  <cp:category/>
  <cp:version/>
  <cp:contentType/>
  <cp:contentStatus/>
</cp:coreProperties>
</file>